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5835" windowHeight="5610" activeTab="0"/>
  </bookViews>
  <sheets>
    <sheet name="Menu" sheetId="1" r:id="rId1"/>
    <sheet name="Figure 10.10" sheetId="2" r:id="rId2"/>
    <sheet name="Calculations" sheetId="3" state="hidden" r:id="rId3"/>
  </sheets>
  <definedNames>
    <definedName name="Alphaf">#REF!</definedName>
    <definedName name="Alpham">#REF!</definedName>
    <definedName name="F">#REF!</definedName>
    <definedName name="Kf">#REF!</definedName>
    <definedName name="Km">#REF!</definedName>
    <definedName name="Lf">#REF!</definedName>
    <definedName name="Lm">#REF!</definedName>
    <definedName name="M">#REF!</definedName>
    <definedName name="Pf">#REF!</definedName>
    <definedName name="Pm">#REF!</definedName>
    <definedName name="re">#REF!</definedName>
    <definedName name="wa">#REF!</definedName>
  </definedNames>
  <calcPr fullCalcOnLoad="1"/>
</workbook>
</file>

<file path=xl/sharedStrings.xml><?xml version="1.0" encoding="utf-8"?>
<sst xmlns="http://schemas.openxmlformats.org/spreadsheetml/2006/main" count="82" uniqueCount="63">
  <si>
    <t>steps=</t>
  </si>
  <si>
    <t>Kx/Lx</t>
  </si>
  <si>
    <t>Ky/Ly</t>
  </si>
  <si>
    <t>Simulation</t>
  </si>
  <si>
    <t>Calculations</t>
  </si>
  <si>
    <t>Wages</t>
  </si>
  <si>
    <t>Rental rate</t>
  </si>
  <si>
    <t>Utility</t>
  </si>
  <si>
    <t>Tariff revenue</t>
  </si>
  <si>
    <t>Production Possibilities Frontier</t>
  </si>
  <si>
    <t>Variables</t>
  </si>
  <si>
    <t>Economy Characteristics</t>
  </si>
  <si>
    <t>Delta</t>
  </si>
  <si>
    <t>Gamma r</t>
  </si>
  <si>
    <t>Gamma w</t>
  </si>
  <si>
    <t>c1</t>
  </si>
  <si>
    <t>c2</t>
  </si>
  <si>
    <t>Tariff</t>
  </si>
  <si>
    <t>No Tariff</t>
  </si>
  <si>
    <t>Lambda x</t>
  </si>
  <si>
    <t>Income (world prices)</t>
  </si>
  <si>
    <t>Welfare</t>
  </si>
  <si>
    <t>Wage rate</t>
  </si>
  <si>
    <t>Model</t>
  </si>
  <si>
    <t>Factor inputs</t>
  </si>
  <si>
    <t>Points on income line, no tariff</t>
  </si>
  <si>
    <t>Points on income line, tariff</t>
  </si>
  <si>
    <t>Points on welfare curve</t>
  </si>
  <si>
    <t>Tangent lines</t>
  </si>
  <si>
    <t>Trade triangle</t>
  </si>
  <si>
    <t>production</t>
  </si>
  <si>
    <t>consumption</t>
  </si>
  <si>
    <t>Capital stock</t>
  </si>
  <si>
    <t>Labor stock</t>
  </si>
  <si>
    <t>World price of tractors</t>
  </si>
  <si>
    <t>Domestic price of  tractors</t>
  </si>
  <si>
    <t>World price of coffee</t>
  </si>
  <si>
    <t>Production of Tractors</t>
  </si>
  <si>
    <t>Production of Coffee</t>
  </si>
  <si>
    <t>Consumption of Tractors</t>
  </si>
  <si>
    <t>Consumption of Coffee</t>
  </si>
  <si>
    <t>Exports of Tractors</t>
  </si>
  <si>
    <t>Imports of Coffee</t>
  </si>
  <si>
    <t>Labor input tractors</t>
  </si>
  <si>
    <t>Capital input good tractors</t>
  </si>
  <si>
    <t>Labor input Coffee</t>
  </si>
  <si>
    <t>Capital input Coffee</t>
  </si>
  <si>
    <t>Tractors</t>
  </si>
  <si>
    <t>Coffee</t>
  </si>
  <si>
    <t>World price of Tractors</t>
  </si>
  <si>
    <t>Alpha Tractors</t>
  </si>
  <si>
    <t>Alpha Coffee</t>
  </si>
  <si>
    <t>Tariff (%) on tractors</t>
  </si>
  <si>
    <t>Labour stock</t>
  </si>
  <si>
    <t>Menu</t>
  </si>
  <si>
    <t>Exogenous variables</t>
  </si>
  <si>
    <t>Endogenous variables</t>
  </si>
  <si>
    <t>Baseline</t>
  </si>
  <si>
    <t>Income*</t>
  </si>
  <si>
    <t>*(in terms of tractors,domestic prices)</t>
  </si>
  <si>
    <r>
      <t xml:space="preserve">Share of income spent on tractors </t>
    </r>
    <r>
      <rPr>
        <sz val="10"/>
        <rFont val="Symbol"/>
        <family val="1"/>
      </rPr>
      <t>d</t>
    </r>
  </si>
  <si>
    <t>No. of misspecifications</t>
  </si>
  <si>
    <t>Question 10-8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</si>
</sst>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#,##0_);\(&quot;fl&quot;#,##0\)"/>
    <numFmt numFmtId="173" formatCode="&quot;fl&quot;#,##0_);[Red]\(&quot;fl&quot;#,##0\)"/>
    <numFmt numFmtId="174" formatCode="&quot;fl&quot;#,##0.00_);\(&quot;fl&quot;#,##0.00\)"/>
    <numFmt numFmtId="175" formatCode="&quot;fl&quot;#,##0.00_);[Red]\(&quot;fl&quot;#,##0.00\)"/>
    <numFmt numFmtId="176" formatCode="_(&quot;fl&quot;* #,##0_);_(&quot;fl&quot;* \(#,##0\);_(&quot;fl&quot;* &quot;-&quot;_);_(@_)"/>
    <numFmt numFmtId="177" formatCode="_(&quot;fl&quot;* #,##0.00_);_(&quot;fl&quot;* \(#,##0.00\);_(&quot;fl&quot;* &quot;-&quot;??_);_(@_)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00"/>
    <numFmt numFmtId="185" formatCode="0.0000"/>
    <numFmt numFmtId="186" formatCode="0.0"/>
    <numFmt numFmtId="187" formatCode="0.00000"/>
    <numFmt numFmtId="188" formatCode="0.00000000"/>
    <numFmt numFmtId="189" formatCode="0.0000000"/>
    <numFmt numFmtId="190" formatCode="0.000000"/>
    <numFmt numFmtId="191" formatCode="0.000000000"/>
    <numFmt numFmtId="192" formatCode="0.0000000000"/>
    <numFmt numFmtId="193" formatCode="0.00000000000"/>
    <numFmt numFmtId="194" formatCode="_-* #,##0.000_-;_-* #,##0.000\-;_-* &quot;-&quot;??_-;_-@_-"/>
    <numFmt numFmtId="195" formatCode="_-* #,##0.0_-;_-* #,##0.0\-;_-* &quot;-&quot;??_-;_-@_-"/>
    <numFmt numFmtId="196" formatCode="&quot;fl&quot;\ #,##0_-;&quot;fl&quot;\ #,##0\-"/>
    <numFmt numFmtId="197" formatCode="&quot;fl&quot;\ #,##0_-;[Red]&quot;fl&quot;\ #,##0\-"/>
    <numFmt numFmtId="198" formatCode="&quot;fl&quot;\ #,##0.00_-;&quot;fl&quot;\ #,##0.00\-"/>
    <numFmt numFmtId="199" formatCode="&quot;fl&quot;\ #,##0.00_-;[Red]&quot;fl&quot;\ #,##0.00\-"/>
    <numFmt numFmtId="200" formatCode="_-&quot;fl&quot;\ * #,##0_-;_-&quot;fl&quot;\ * #,##0\-;_-&quot;fl&quot;\ * &quot;-&quot;_-;_-@_-"/>
    <numFmt numFmtId="201" formatCode="_-&quot;fl&quot;\ * #,##0.00_-;_-&quot;fl&quot;\ * #,##0.00\-;_-&quot;fl&quot;\ * &quot;-&quot;??_-;_-@_-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40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u val="single"/>
      <sz val="20"/>
      <color indexed="10"/>
      <name val="Arial"/>
      <family val="2"/>
    </font>
    <font>
      <b/>
      <i/>
      <sz val="20"/>
      <name val="Arial"/>
      <family val="2"/>
    </font>
    <font>
      <b/>
      <sz val="10"/>
      <color indexed="55"/>
      <name val="Arial"/>
      <family val="2"/>
    </font>
    <font>
      <b/>
      <sz val="10"/>
      <color indexed="18"/>
      <name val="Arial"/>
      <family val="2"/>
    </font>
    <font>
      <b/>
      <sz val="10"/>
      <color indexed="11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color indexed="10"/>
      <name val="Arial"/>
      <family val="2"/>
    </font>
    <font>
      <sz val="10"/>
      <name val="Symbol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sz val="12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3" fillId="34" borderId="0" xfId="53" applyFill="1" applyAlignment="1" applyProtection="1">
      <alignment horizontal="left"/>
      <protection/>
    </xf>
    <xf numFmtId="0" fontId="0" fillId="34" borderId="18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21" fillId="34" borderId="18" xfId="0" applyFont="1" applyFill="1" applyBorder="1" applyAlignment="1">
      <alignment/>
    </xf>
    <xf numFmtId="0" fontId="22" fillId="34" borderId="18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9" fillId="34" borderId="0" xfId="0" applyFont="1" applyFill="1" applyAlignment="1">
      <alignment/>
    </xf>
    <xf numFmtId="2" fontId="0" fillId="34" borderId="0" xfId="0" applyNumberFormat="1" applyFill="1" applyAlignment="1">
      <alignment/>
    </xf>
    <xf numFmtId="0" fontId="16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3" fillId="34" borderId="0" xfId="53" applyFont="1" applyFill="1" applyAlignment="1" applyProtection="1">
      <alignment horizontal="left"/>
      <protection/>
    </xf>
    <xf numFmtId="0" fontId="14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3" fillId="34" borderId="0" xfId="53" applyFont="1" applyFill="1" applyAlignment="1" applyProtection="1">
      <alignment horizontal="left" vertical="center"/>
      <protection/>
    </xf>
    <xf numFmtId="0" fontId="4" fillId="34" borderId="0" xfId="0" applyFont="1" applyFill="1" applyAlignment="1">
      <alignment horizontal="left" vertical="center"/>
    </xf>
    <xf numFmtId="0" fontId="3" fillId="34" borderId="0" xfId="53" applyFill="1" applyAlignment="1" applyProtection="1">
      <alignment horizontal="left" vertical="center"/>
      <protection/>
    </xf>
    <xf numFmtId="0" fontId="0" fillId="34" borderId="0" xfId="0" applyFill="1" applyAlignment="1">
      <alignment horizontal="left" vertical="center"/>
    </xf>
    <xf numFmtId="0" fontId="13" fillId="34" borderId="0" xfId="53" applyFont="1" applyFill="1" applyAlignment="1" applyProtection="1">
      <alignment horizontal="left" vertical="center"/>
      <protection/>
    </xf>
    <xf numFmtId="0" fontId="0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2" fontId="0" fillId="34" borderId="0" xfId="0" applyNumberFormat="1" applyFill="1" applyAlignment="1">
      <alignment horizontal="right" vertical="center"/>
    </xf>
    <xf numFmtId="2" fontId="6" fillId="34" borderId="0" xfId="0" applyNumberFormat="1" applyFont="1" applyFill="1" applyAlignment="1">
      <alignment horizontal="left" vertic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right" vertical="center"/>
    </xf>
    <xf numFmtId="0" fontId="0" fillId="34" borderId="0" xfId="0" applyFont="1" applyFill="1" applyAlignment="1">
      <alignment horizontal="right" vertical="center"/>
    </xf>
    <xf numFmtId="0" fontId="1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wrapText="1"/>
    </xf>
    <xf numFmtId="0" fontId="0" fillId="34" borderId="18" xfId="0" applyFill="1" applyBorder="1" applyAlignment="1">
      <alignment/>
    </xf>
    <xf numFmtId="0" fontId="22" fillId="34" borderId="11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2" fontId="6" fillId="34" borderId="0" xfId="0" applyNumberFormat="1" applyFont="1" applyFill="1" applyBorder="1" applyAlignment="1">
      <alignment horizontal="center"/>
    </xf>
    <xf numFmtId="186" fontId="0" fillId="34" borderId="11" xfId="0" applyNumberFormat="1" applyFont="1" applyFill="1" applyBorder="1" applyAlignment="1">
      <alignment horizontal="center"/>
    </xf>
    <xf numFmtId="186" fontId="0" fillId="34" borderId="0" xfId="0" applyNumberFormat="1" applyFill="1" applyAlignment="1">
      <alignment/>
    </xf>
    <xf numFmtId="186" fontId="0" fillId="34" borderId="0" xfId="0" applyNumberFormat="1" applyFont="1" applyFill="1" applyBorder="1" applyAlignment="1">
      <alignment horizontal="center"/>
    </xf>
    <xf numFmtId="186" fontId="0" fillId="34" borderId="0" xfId="0" applyNumberFormat="1" applyFont="1" applyFill="1" applyAlignment="1">
      <alignment horizontal="center"/>
    </xf>
    <xf numFmtId="0" fontId="7" fillId="34" borderId="0" xfId="0" applyFont="1" applyFill="1" applyAlignment="1">
      <alignment/>
    </xf>
    <xf numFmtId="0" fontId="0" fillId="34" borderId="0" xfId="0" applyFont="1" applyFill="1" applyBorder="1" applyAlignment="1">
      <alignment vertical="center"/>
    </xf>
    <xf numFmtId="0" fontId="19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3" fillId="34" borderId="0" xfId="53" applyFont="1" applyFill="1" applyAlignment="1" applyProtection="1">
      <alignment horizontal="left"/>
      <protection/>
    </xf>
    <xf numFmtId="0" fontId="1" fillId="34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186" fontId="0" fillId="35" borderId="0" xfId="0" applyNumberFormat="1" applyFill="1" applyAlignment="1">
      <alignment horizontal="center"/>
    </xf>
    <xf numFmtId="186" fontId="0" fillId="35" borderId="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23"/>
          <c:w val="0.908"/>
          <c:h val="0.89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Calculations!$G$37:$G$137</c:f>
              <c:numCache>
                <c:ptCount val="101"/>
                <c:pt idx="0">
                  <c:v>0.0033674243065017935</c:v>
                </c:pt>
                <c:pt idx="1">
                  <c:v>0.21114525124024025</c:v>
                </c:pt>
                <c:pt idx="2">
                  <c:v>0.3828378816384896</c:v>
                </c:pt>
                <c:pt idx="3">
                  <c:v>0.5262189014228511</c:v>
                </c:pt>
                <c:pt idx="4">
                  <c:v>0.6484904664791594</c:v>
                </c:pt>
                <c:pt idx="5">
                  <c:v>0.7545345938052521</c:v>
                </c:pt>
                <c:pt idx="6">
                  <c:v>0.8477893571387053</c:v>
                </c:pt>
                <c:pt idx="7">
                  <c:v>0.9307532081398742</c:v>
                </c:pt>
                <c:pt idx="8">
                  <c:v>1.0052901632096778</c:v>
                </c:pt>
                <c:pt idx="9">
                  <c:v>1.0728223443917824</c:v>
                </c:pt>
                <c:pt idx="10">
                  <c:v>1.1344558101793563</c:v>
                </c:pt>
                <c:pt idx="11">
                  <c:v>1.1910653120496668</c:v>
                </c:pt>
                <c:pt idx="12">
                  <c:v>1.2433528999709378</c:v>
                </c:pt>
                <c:pt idx="13">
                  <c:v>1.2918893861275291</c:v>
                </c:pt>
                <c:pt idx="14">
                  <c:v>1.3371442812688772</c:v>
                </c:pt>
                <c:pt idx="15">
                  <c:v>1.379507801669043</c:v>
                </c:pt>
                <c:pt idx="16">
                  <c:v>1.4193073103814575</c:v>
                </c:pt>
                <c:pt idx="17">
                  <c:v>1.4568197804158731</c:v>
                </c:pt>
                <c:pt idx="18">
                  <c:v>1.49228136768157</c:v>
                </c:pt>
                <c:pt idx="19">
                  <c:v>1.5258948526503646</c:v>
                </c:pt>
                <c:pt idx="20">
                  <c:v>1.5578354889842696</c:v>
                </c:pt>
                <c:pt idx="21">
                  <c:v>1.588255646600249</c:v>
                </c:pt>
                <c:pt idx="22">
                  <c:v>1.6172885319569736</c:v>
                </c:pt>
                <c:pt idx="23">
                  <c:v>1.6450511945653241</c:v>
                </c:pt>
                <c:pt idx="24">
                  <c:v>1.6716469760017636</c:v>
                </c:pt>
                <c:pt idx="25">
                  <c:v>1.6971675195478484</c:v>
                </c:pt>
                <c:pt idx="26">
                  <c:v>1.7216944306378028</c:v>
                </c:pt>
                <c:pt idx="27">
                  <c:v>1.7453006576092904</c:v>
                </c:pt>
                <c:pt idx="28">
                  <c:v>1.7680516467793337</c:v>
                </c:pt>
                <c:pt idx="29">
                  <c:v>1.79000631418285</c:v>
                </c:pt>
                <c:pt idx="30">
                  <c:v>1.8112178674084876</c:v>
                </c:pt>
                <c:pt idx="31">
                  <c:v>1.8317345041259883</c:v>
                </c:pt>
                <c:pt idx="32">
                  <c:v>1.8516000086017965</c:v>
                </c:pt>
                <c:pt idx="33">
                  <c:v>1.8708542633664091</c:v>
                </c:pt>
                <c:pt idx="34">
                  <c:v>1.8895336899494795</c:v>
                </c:pt>
                <c:pt idx="35">
                  <c:v>1.9076716300300747</c:v>
                </c:pt>
                <c:pt idx="36">
                  <c:v>1.925298676305124</c:v>
                </c:pt>
                <c:pt idx="37">
                  <c:v>1.9424429607421774</c:v>
                </c:pt>
                <c:pt idx="38">
                  <c:v>1.959130406564574</c:v>
                </c:pt>
                <c:pt idx="39">
                  <c:v>1.9753849492500626</c:v>
                </c:pt>
                <c:pt idx="40">
                  <c:v>1.9912287309556844</c:v>
                </c:pt>
                <c:pt idx="41">
                  <c:v>2.0066822720717585</c:v>
                </c:pt>
                <c:pt idx="42">
                  <c:v>2.0217646230246102</c:v>
                </c:pt>
                <c:pt idx="43">
                  <c:v>2.0364934989663905</c:v>
                </c:pt>
                <c:pt idx="44">
                  <c:v>2.0508853995915777</c:v>
                </c:pt>
                <c:pt idx="45">
                  <c:v>2.0649557159878977</c:v>
                </c:pt>
                <c:pt idx="46">
                  <c:v>2.07871882615225</c:v>
                </c:pt>
                <c:pt idx="47">
                  <c:v>2.09218818056983</c:v>
                </c:pt>
                <c:pt idx="48">
                  <c:v>2.105376379059109</c:v>
                </c:pt>
                <c:pt idx="49">
                  <c:v>2.1182952399202364</c:v>
                </c:pt>
                <c:pt idx="50">
                  <c:v>2.1309558622845444</c:v>
                </c:pt>
                <c:pt idx="51">
                  <c:v>2.1433686824440112</c:v>
                </c:pt>
                <c:pt idx="52">
                  <c:v>2.155543524838183</c:v>
                </c:pt>
                <c:pt idx="53">
                  <c:v>2.167489648289437</c:v>
                </c:pt>
                <c:pt idx="54">
                  <c:v>2.1792157880032073</c:v>
                </c:pt>
                <c:pt idx="55">
                  <c:v>2.190730193785908</c:v>
                </c:pt>
                <c:pt idx="56">
                  <c:v>2.2020406648782562</c:v>
                </c:pt>
                <c:pt idx="57">
                  <c:v>2.213154581754105</c:v>
                </c:pt>
                <c:pt idx="58">
                  <c:v>2.2240789351936945</c:v>
                </c:pt>
                <c:pt idx="59">
                  <c:v>2.2348203529043973</c:v>
                </c:pt>
                <c:pt idx="60">
                  <c:v>2.2453851239308995</c:v>
                </c:pt>
                <c:pt idx="61">
                  <c:v>2.2557792210695413</c:v>
                </c:pt>
                <c:pt idx="62">
                  <c:v>2.2660083214778</c:v>
                </c:pt>
                <c:pt idx="63">
                  <c:v>2.276077825649032</c:v>
                </c:pt>
                <c:pt idx="64">
                  <c:v>2.2859928749043212</c:v>
                </c:pt>
                <c:pt idx="65">
                  <c:v>2.295758367537203</c:v>
                </c:pt>
                <c:pt idx="66">
                  <c:v>2.3053789737328194</c:v>
                </c:pt>
                <c:pt idx="67">
                  <c:v>2.3148591493705784</c:v>
                </c:pt>
                <c:pt idx="68">
                  <c:v>2.3242031488082677</c:v>
                </c:pt>
                <c:pt idx="69">
                  <c:v>2.3334150367358033</c:v>
                </c:pt>
                <c:pt idx="70">
                  <c:v>2.3424986991780377</c:v>
                </c:pt>
                <c:pt idx="71">
                  <c:v>2.351457853718316</c:v>
                </c:pt>
                <c:pt idx="72">
                  <c:v>2.3602960590075863</c:v>
                </c:pt>
                <c:pt idx="73">
                  <c:v>2.3690167236176727</c:v>
                </c:pt>
                <c:pt idx="74">
                  <c:v>2.3776231142918522</c:v>
                </c:pt>
                <c:pt idx="75">
                  <c:v>2.386118363640938</c:v>
                </c:pt>
                <c:pt idx="76">
                  <c:v>2.394505477328669</c:v>
                </c:pt>
                <c:pt idx="77">
                  <c:v>2.4027873407862357</c:v>
                </c:pt>
                <c:pt idx="78">
                  <c:v>2.410966725492231</c:v>
                </c:pt>
                <c:pt idx="79">
                  <c:v>2.4190462948511016</c:v>
                </c:pt>
                <c:pt idx="80">
                  <c:v>2.4270286097003027</c:v>
                </c:pt>
                <c:pt idx="81">
                  <c:v>2.4349161334737466</c:v>
                </c:pt>
                <c:pt idx="82">
                  <c:v>2.4427112370467996</c:v>
                </c:pt>
                <c:pt idx="83">
                  <c:v>2.4504162032859433</c:v>
                </c:pt>
                <c:pt idx="84">
                  <c:v>2.4580332313243</c:v>
                </c:pt>
                <c:pt idx="85">
                  <c:v>2.465564440582485</c:v>
                </c:pt>
                <c:pt idx="86">
                  <c:v>2.473011874552643</c:v>
                </c:pt>
                <c:pt idx="87">
                  <c:v>2.4803775043621195</c:v>
                </c:pt>
                <c:pt idx="88">
                  <c:v>2.4876632321318737</c:v>
                </c:pt>
                <c:pt idx="89">
                  <c:v>2.494870894143592</c:v>
                </c:pt>
                <c:pt idx="90">
                  <c:v>2.502002263828327</c:v>
                </c:pt>
                <c:pt idx="91">
                  <c:v>2.509059054588541</c:v>
                </c:pt>
                <c:pt idx="92">
                  <c:v>2.5160429224644996</c:v>
                </c:pt>
                <c:pt idx="93">
                  <c:v>2.5229554686551445</c:v>
                </c:pt>
                <c:pt idx="94">
                  <c:v>2.5297982419028178</c:v>
                </c:pt>
                <c:pt idx="95">
                  <c:v>2.536572740750521</c:v>
                </c:pt>
                <c:pt idx="96">
                  <c:v>2.543280415679742</c:v>
                </c:pt>
                <c:pt idx="97">
                  <c:v>2.5499226711363203</c:v>
                </c:pt>
                <c:pt idx="98">
                  <c:v>2.5565008674512693</c:v>
                </c:pt>
                <c:pt idx="99">
                  <c:v>2.563016322662995</c:v>
                </c:pt>
                <c:pt idx="100">
                  <c:v>2.5694703142468787</c:v>
                </c:pt>
              </c:numCache>
            </c:numRef>
          </c:xVal>
          <c:yVal>
            <c:numRef>
              <c:f>Calculations!$H$37:$H$137</c:f>
              <c:numCache>
                <c:ptCount val="101"/>
                <c:pt idx="0">
                  <c:v>5.44548363942771</c:v>
                </c:pt>
                <c:pt idx="1">
                  <c:v>5.245417461858699</c:v>
                </c:pt>
                <c:pt idx="2">
                  <c:v>5.066660870206228</c:v>
                </c:pt>
                <c:pt idx="3">
                  <c:v>4.906621584186954</c:v>
                </c:pt>
                <c:pt idx="4">
                  <c:v>4.761367109983968</c:v>
                </c:pt>
                <c:pt idx="5">
                  <c:v>4.628075409478568</c:v>
                </c:pt>
                <c:pt idx="6">
                  <c:v>4.504655305649489</c:v>
                </c:pt>
                <c:pt idx="7">
                  <c:v>4.389515707885524</c:v>
                </c:pt>
                <c:pt idx="8">
                  <c:v>4.281418904278079</c:v>
                </c:pt>
                <c:pt idx="9">
                  <c:v>4.179383761766615</c:v>
                </c:pt>
                <c:pt idx="10">
                  <c:v>4.082619812768029</c:v>
                </c:pt>
                <c:pt idx="11">
                  <c:v>3.9904811440012065</c:v>
                </c:pt>
                <c:pt idx="12">
                  <c:v>3.9024333731966934</c:v>
                </c:pt>
                <c:pt idx="13">
                  <c:v>3.8180295080952624</c:v>
                </c:pt>
                <c:pt idx="14">
                  <c:v>3.7368919754300234</c:v>
                </c:pt>
                <c:pt idx="15">
                  <c:v>3.658699025062853</c:v>
                </c:pt>
                <c:pt idx="16">
                  <c:v>3.583174294129716</c:v>
                </c:pt>
                <c:pt idx="17">
                  <c:v>3.5100786915352584</c:v>
                </c:pt>
                <c:pt idx="18">
                  <c:v>3.4392040118375</c:v>
                </c:pt>
                <c:pt idx="19">
                  <c:v>3.370367855630553</c:v>
                </c:pt>
                <c:pt idx="20">
                  <c:v>3.3034095491957824</c:v>
                </c:pt>
                <c:pt idx="21">
                  <c:v>3.238186837119815</c:v>
                </c:pt>
                <c:pt idx="22">
                  <c:v>3.174573179066573</c:v>
                </c:pt>
                <c:pt idx="23">
                  <c:v>3.1124555233008904</c:v>
                </c:pt>
                <c:pt idx="24">
                  <c:v>3.0517324597745623</c:v>
                </c:pt>
                <c:pt idx="25">
                  <c:v>2.992312677892297</c:v>
                </c:pt>
                <c:pt idx="26">
                  <c:v>2.9341136707258646</c:v>
                </c:pt>
                <c:pt idx="27">
                  <c:v>2.8770606400014547</c:v>
                </c:pt>
                <c:pt idx="28">
                  <c:v>2.821085565745066</c:v>
                </c:pt>
                <c:pt idx="29">
                  <c:v>2.7661264118139286</c:v>
                </c:pt>
                <c:pt idx="30">
                  <c:v>2.712126444229791</c:v>
                </c:pt>
                <c:pt idx="31">
                  <c:v>2.659033643669962</c:v>
                </c:pt>
                <c:pt idx="32">
                  <c:v>2.606800196963799</c:v>
                </c:pt>
                <c:pt idx="33">
                  <c:v>2.555382055207367</c:v>
                </c:pt>
                <c:pt idx="34">
                  <c:v>2.5047385483128983</c:v>
                </c:pt>
                <c:pt idx="35">
                  <c:v>2.454832047577331</c:v>
                </c:pt>
                <c:pt idx="36">
                  <c:v>2.405627669280146</c:v>
                </c:pt>
                <c:pt idx="37">
                  <c:v>2.357093013477564</c:v>
                </c:pt>
                <c:pt idx="38">
                  <c:v>2.3091979331034667</c:v>
                </c:pt>
                <c:pt idx="39">
                  <c:v>2.2619143292606796</c:v>
                </c:pt>
                <c:pt idx="40">
                  <c:v>2.2152159692229665</c:v>
                </c:pt>
                <c:pt idx="41">
                  <c:v>2.1690783241948965</c:v>
                </c:pt>
                <c:pt idx="42">
                  <c:v>2.123478424314425</c:v>
                </c:pt>
                <c:pt idx="43">
                  <c:v>2.07839472874825</c:v>
                </c:pt>
                <c:pt idx="44">
                  <c:v>2.0338070090358826</c:v>
                </c:pt>
                <c:pt idx="45">
                  <c:v>1.9896962440956087</c:v>
                </c:pt>
                <c:pt idx="46">
                  <c:v>1.9460445255226084</c:v>
                </c:pt>
                <c:pt idx="47">
                  <c:v>1.902834971993292</c:v>
                </c:pt>
                <c:pt idx="48">
                  <c:v>1.860051651746154</c:v>
                </c:pt>
                <c:pt idx="49">
                  <c:v>1.8176795122425613</c:v>
                </c:pt>
                <c:pt idx="50">
                  <c:v>1.7757043162247852</c:v>
                </c:pt>
                <c:pt idx="51">
                  <c:v>1.7341125834862101</c:v>
                </c:pt>
                <c:pt idx="52">
                  <c:v>1.6928915377526306</c:v>
                </c:pt>
                <c:pt idx="53">
                  <c:v>1.6520290581460153</c:v>
                </c:pt>
                <c:pt idx="54">
                  <c:v>1.6115136347647163</c:v>
                </c:pt>
                <c:pt idx="55">
                  <c:v>1.571334327968434</c:v>
                </c:pt>
                <c:pt idx="56">
                  <c:v>1.5314807310034353</c:v>
                </c:pt>
                <c:pt idx="57">
                  <c:v>1.4919429356446627</c:v>
                </c:pt>
                <c:pt idx="58">
                  <c:v>1.452711500567262</c:v>
                </c:pt>
                <c:pt idx="59">
                  <c:v>1.413777422191475</c:v>
                </c:pt>
                <c:pt idx="60">
                  <c:v>1.3751321077724634</c:v>
                </c:pt>
                <c:pt idx="61">
                  <c:v>1.336767350530784</c:v>
                </c:pt>
                <c:pt idx="62">
                  <c:v>1.298675306640636</c:v>
                </c:pt>
                <c:pt idx="63">
                  <c:v>1.2608484739117813</c:v>
                </c:pt>
                <c:pt idx="64">
                  <c:v>1.2232796720177523</c:v>
                </c:pt>
                <c:pt idx="65">
                  <c:v>1.1859620241376192</c:v>
                </c:pt>
                <c:pt idx="66">
                  <c:v>1.1488889398917745</c:v>
                </c:pt>
                <c:pt idx="67">
                  <c:v>1.1120540994637382</c:v>
                </c:pt>
                <c:pt idx="68">
                  <c:v>1.0754514388104135</c:v>
                </c:pt>
                <c:pt idx="69">
                  <c:v>1.0390751358724153</c:v>
                </c:pt>
                <c:pt idx="70">
                  <c:v>1.0029195977043621</c:v>
                </c:pt>
                <c:pt idx="71">
                  <c:v>0.9669794484524373</c:v>
                </c:pt>
                <c:pt idx="72">
                  <c:v>0.9312495181130735</c:v>
                </c:pt>
                <c:pt idx="73">
                  <c:v>0.8957248320126221</c:v>
                </c:pt>
                <c:pt idx="74">
                  <c:v>0.8604006009531735</c:v>
                </c:pt>
                <c:pt idx="75">
                  <c:v>0.8252722119744929</c:v>
                </c:pt>
                <c:pt idx="76">
                  <c:v>0.7903352196863773</c:v>
                </c:pt>
                <c:pt idx="77">
                  <c:v>0.755585338129647</c:v>
                </c:pt>
                <c:pt idx="78">
                  <c:v>0.7210184331274904</c:v>
                </c:pt>
                <c:pt idx="79">
                  <c:v>0.6866305150921139</c:v>
                </c:pt>
                <c:pt idx="80">
                  <c:v>0.6524177322544926</c:v>
                </c:pt>
                <c:pt idx="81">
                  <c:v>0.6183763642876969</c:v>
                </c:pt>
                <c:pt idx="82">
                  <c:v>0.5845028162965766</c:v>
                </c:pt>
                <c:pt idx="83">
                  <c:v>0.5507936131488378</c:v>
                </c:pt>
                <c:pt idx="84">
                  <c:v>0.5172453941244365</c:v>
                </c:pt>
                <c:pt idx="85">
                  <c:v>0.4838549078620579</c:v>
                </c:pt>
                <c:pt idx="86">
                  <c:v>0.45061900758307843</c:v>
                </c:pt>
                <c:pt idx="87">
                  <c:v>0.4175346465748747</c:v>
                </c:pt>
                <c:pt idx="88">
                  <c:v>0.3845988739167534</c:v>
                </c:pt>
                <c:pt idx="89">
                  <c:v>0.35180883043297334</c:v>
                </c:pt>
                <c:pt idx="90">
                  <c:v>0.319161744858533</c:v>
                </c:pt>
                <c:pt idx="91">
                  <c:v>0.28665493020439664</c:v>
                </c:pt>
                <c:pt idx="92">
                  <c:v>0.2542857803098069</c:v>
                </c:pt>
                <c:pt idx="93">
                  <c:v>0.2220517665702398</c:v>
                </c:pt>
                <c:pt idx="94">
                  <c:v>0.1899504348303361</c:v>
                </c:pt>
                <c:pt idx="95">
                  <c:v>0.15797940243189096</c:v>
                </c:pt>
                <c:pt idx="96">
                  <c:v>0.1261363554077333</c:v>
                </c:pt>
                <c:pt idx="97">
                  <c:v>0.0944190458128389</c:v>
                </c:pt>
                <c:pt idx="98">
                  <c:v>0.06282528918474946</c:v>
                </c:pt>
                <c:pt idx="99">
                  <c:v>0.03135296212575659</c:v>
                </c:pt>
                <c:pt idx="10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Calculations!$K$37:$K$40</c:f>
              <c:numCache>
                <c:ptCount val="4"/>
                <c:pt idx="0">
                  <c:v>0</c:v>
                </c:pt>
                <c:pt idx="1">
                  <c:v>0.6086898898660599</c:v>
                </c:pt>
                <c:pt idx="2">
                  <c:v>2.308343560909549</c:v>
                </c:pt>
                <c:pt idx="3">
                  <c:v>4.616687121819098</c:v>
                </c:pt>
              </c:numCache>
            </c:numRef>
          </c:xVal>
          <c:yVal>
            <c:numRef>
              <c:f>Calculations!$L$37:$L$40</c:f>
              <c:numCache>
                <c:ptCount val="4"/>
                <c:pt idx="0">
                  <c:v>5.540024546182917</c:v>
                </c:pt>
                <c:pt idx="1">
                  <c:v>4.809596678343645</c:v>
                </c:pt>
                <c:pt idx="2">
                  <c:v>2.7700122730914587</c:v>
                </c:pt>
                <c:pt idx="3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Calculations!$Q$39:$Q$57</c:f>
              <c:numCache>
                <c:ptCount val="19"/>
                <c:pt idx="0">
                  <c:v>0.1</c:v>
                </c:pt>
                <c:pt idx="1">
                  <c:v>0.2826417345671567</c:v>
                </c:pt>
                <c:pt idx="2">
                  <c:v>0.5652834691343134</c:v>
                </c:pt>
                <c:pt idx="3">
                  <c:v>0.84792520370147</c:v>
                </c:pt>
                <c:pt idx="4">
                  <c:v>1.1305669382686265</c:v>
                </c:pt>
                <c:pt idx="5">
                  <c:v>1.413208672835783</c:v>
                </c:pt>
                <c:pt idx="6">
                  <c:v>1.6958504074029397</c:v>
                </c:pt>
                <c:pt idx="7">
                  <c:v>1.9784921419700963</c:v>
                </c:pt>
                <c:pt idx="8">
                  <c:v>2.261133876537253</c:v>
                </c:pt>
                <c:pt idx="9">
                  <c:v>2.54377561110441</c:v>
                </c:pt>
                <c:pt idx="10">
                  <c:v>2.8264173456715667</c:v>
                </c:pt>
                <c:pt idx="11">
                  <c:v>3.1090590802387235</c:v>
                </c:pt>
                <c:pt idx="12">
                  <c:v>3.3917008148058803</c:v>
                </c:pt>
                <c:pt idx="13">
                  <c:v>3.674342549373037</c:v>
                </c:pt>
                <c:pt idx="14">
                  <c:v>3.956984283940194</c:v>
                </c:pt>
                <c:pt idx="15">
                  <c:v>4.239626018507351</c:v>
                </c:pt>
                <c:pt idx="16">
                  <c:v>4.522267753074507</c:v>
                </c:pt>
                <c:pt idx="17">
                  <c:v>4.804909487641663</c:v>
                </c:pt>
                <c:pt idx="18">
                  <c:v>5.08755122220882</c:v>
                </c:pt>
              </c:numCache>
            </c:numRef>
          </c:xVal>
          <c:yVal>
            <c:numRef>
              <c:f>Calculations!$R$39:$R$57</c:f>
              <c:numCache>
                <c:ptCount val="19"/>
                <c:pt idx="0">
                  <c:v>20</c:v>
                </c:pt>
                <c:pt idx="1">
                  <c:v>20</c:v>
                </c:pt>
                <c:pt idx="2">
                  <c:v>11.311386841053757</c:v>
                </c:pt>
                <c:pt idx="3">
                  <c:v>7.540924560702507</c:v>
                </c:pt>
                <c:pt idx="4">
                  <c:v>5.65569342052688</c:v>
                </c:pt>
                <c:pt idx="5">
                  <c:v>4.524554736421504</c:v>
                </c:pt>
                <c:pt idx="6">
                  <c:v>3.7704622803512535</c:v>
                </c:pt>
                <c:pt idx="7">
                  <c:v>3.231824811729646</c:v>
                </c:pt>
                <c:pt idx="8">
                  <c:v>2.82784671026344</c:v>
                </c:pt>
                <c:pt idx="9">
                  <c:v>2.513641520234169</c:v>
                </c:pt>
                <c:pt idx="10">
                  <c:v>2.2622773682107518</c:v>
                </c:pt>
                <c:pt idx="11">
                  <c:v>2.0566157892825014</c:v>
                </c:pt>
                <c:pt idx="12">
                  <c:v>1.8852311401756263</c:v>
                </c:pt>
                <c:pt idx="13">
                  <c:v>1.7402133601621164</c:v>
                </c:pt>
                <c:pt idx="14">
                  <c:v>1.6159124058648224</c:v>
                </c:pt>
                <c:pt idx="15">
                  <c:v>1.5081849121405009</c:v>
                </c:pt>
                <c:pt idx="16">
                  <c:v>1.4139233551317196</c:v>
                </c:pt>
                <c:pt idx="17">
                  <c:v>1.330751393065148</c:v>
                </c:pt>
                <c:pt idx="18">
                  <c:v>1.2568207601170844</c:v>
                </c:pt>
              </c:numCache>
            </c:numRef>
          </c:yVal>
          <c:smooth val="1"/>
        </c:ser>
        <c:ser>
          <c:idx val="5"/>
          <c:order val="3"/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Calculations!$N$37:$N$40</c:f>
              <c:numCache>
                <c:ptCount val="4"/>
                <c:pt idx="0">
                  <c:v>0</c:v>
                </c:pt>
                <c:pt idx="1">
                  <c:v>0.6086898898660599</c:v>
                </c:pt>
                <c:pt idx="2">
                  <c:v>2.308343560909549</c:v>
                </c:pt>
                <c:pt idx="3">
                  <c:v>4.616687121819098</c:v>
                </c:pt>
              </c:numCache>
            </c:numRef>
          </c:xVal>
          <c:yVal>
            <c:numRef>
              <c:f>Calculations!$O$37:$O$40</c:f>
              <c:numCache>
                <c:ptCount val="4"/>
                <c:pt idx="0">
                  <c:v>5.540024546182917</c:v>
                </c:pt>
                <c:pt idx="1">
                  <c:v>4.809596678343645</c:v>
                </c:pt>
                <c:pt idx="2">
                  <c:v>2.7700122730914587</c:v>
                </c:pt>
                <c:pt idx="3">
                  <c:v>0</c:v>
                </c:pt>
              </c:numCache>
            </c:numRef>
          </c:yVal>
          <c:smooth val="1"/>
        </c:ser>
        <c:ser>
          <c:idx val="6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Calculations!$T$39:$T$57</c:f>
              <c:numCache>
                <c:ptCount val="19"/>
                <c:pt idx="0">
                  <c:v>0.1</c:v>
                </c:pt>
                <c:pt idx="1">
                  <c:v>0.2826417345671567</c:v>
                </c:pt>
                <c:pt idx="2">
                  <c:v>0.5652834691343134</c:v>
                </c:pt>
                <c:pt idx="3">
                  <c:v>0.84792520370147</c:v>
                </c:pt>
                <c:pt idx="4">
                  <c:v>1.1305669382686265</c:v>
                </c:pt>
                <c:pt idx="5">
                  <c:v>1.413208672835783</c:v>
                </c:pt>
                <c:pt idx="6">
                  <c:v>1.6958504074029397</c:v>
                </c:pt>
                <c:pt idx="7">
                  <c:v>1.9784921419700963</c:v>
                </c:pt>
                <c:pt idx="8">
                  <c:v>2.261133876537253</c:v>
                </c:pt>
                <c:pt idx="9">
                  <c:v>2.54377561110441</c:v>
                </c:pt>
                <c:pt idx="10">
                  <c:v>2.8264173456715667</c:v>
                </c:pt>
                <c:pt idx="11">
                  <c:v>3.1090590802387235</c:v>
                </c:pt>
                <c:pt idx="12">
                  <c:v>3.3917008148058803</c:v>
                </c:pt>
                <c:pt idx="13">
                  <c:v>3.674342549373037</c:v>
                </c:pt>
                <c:pt idx="14">
                  <c:v>3.956984283940194</c:v>
                </c:pt>
                <c:pt idx="15">
                  <c:v>4.239626018507351</c:v>
                </c:pt>
                <c:pt idx="16">
                  <c:v>4.522267753074507</c:v>
                </c:pt>
                <c:pt idx="17">
                  <c:v>4.804909487641663</c:v>
                </c:pt>
                <c:pt idx="18">
                  <c:v>5.08755122220882</c:v>
                </c:pt>
              </c:numCache>
            </c:numRef>
          </c:xVal>
          <c:yVal>
            <c:numRef>
              <c:f>Calculations!$U$39:$U$57</c:f>
              <c:numCache>
                <c:ptCount val="19"/>
                <c:pt idx="0">
                  <c:v>20</c:v>
                </c:pt>
                <c:pt idx="1">
                  <c:v>20</c:v>
                </c:pt>
                <c:pt idx="2">
                  <c:v>11.311386841053757</c:v>
                </c:pt>
                <c:pt idx="3">
                  <c:v>7.540924560702507</c:v>
                </c:pt>
                <c:pt idx="4">
                  <c:v>5.65569342052688</c:v>
                </c:pt>
                <c:pt idx="5">
                  <c:v>4.524554736421504</c:v>
                </c:pt>
                <c:pt idx="6">
                  <c:v>3.7704622803512535</c:v>
                </c:pt>
                <c:pt idx="7">
                  <c:v>3.231824811729646</c:v>
                </c:pt>
                <c:pt idx="8">
                  <c:v>2.82784671026344</c:v>
                </c:pt>
                <c:pt idx="9">
                  <c:v>2.513641520234169</c:v>
                </c:pt>
                <c:pt idx="10">
                  <c:v>2.2622773682107518</c:v>
                </c:pt>
                <c:pt idx="11">
                  <c:v>2.0566157892825014</c:v>
                </c:pt>
                <c:pt idx="12">
                  <c:v>1.8852311401756263</c:v>
                </c:pt>
                <c:pt idx="13">
                  <c:v>1.7402133601621164</c:v>
                </c:pt>
                <c:pt idx="14">
                  <c:v>1.6159124058648224</c:v>
                </c:pt>
                <c:pt idx="15">
                  <c:v>1.5081849121405009</c:v>
                </c:pt>
                <c:pt idx="16">
                  <c:v>1.4139233551317196</c:v>
                </c:pt>
                <c:pt idx="17">
                  <c:v>1.330751393065148</c:v>
                </c:pt>
                <c:pt idx="18">
                  <c:v>1.2568207601170844</c:v>
                </c:pt>
              </c:numCache>
            </c:numRef>
          </c:yVal>
          <c:smooth val="1"/>
        </c:ser>
        <c:ser>
          <c:idx val="7"/>
          <c:order val="5"/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ymbol val="square"/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Calculations!$Z$42:$Z$43</c:f>
              <c:numCache>
                <c:ptCount val="2"/>
                <c:pt idx="0">
                  <c:v>0.6086898898660599</c:v>
                </c:pt>
                <c:pt idx="1">
                  <c:v>0.6086898898660599</c:v>
                </c:pt>
              </c:numCache>
            </c:numRef>
          </c:xVal>
          <c:yVal>
            <c:numRef>
              <c:f>Calculations!$AA$42:$AA$43</c:f>
              <c:numCache>
                <c:ptCount val="2"/>
                <c:pt idx="0">
                  <c:v>4.809596678343645</c:v>
                </c:pt>
                <c:pt idx="1">
                  <c:v>2.7700122730914587</c:v>
                </c:pt>
              </c:numCache>
            </c:numRef>
          </c:yVal>
          <c:smooth val="1"/>
        </c:ser>
        <c:ser>
          <c:idx val="8"/>
          <c:order val="6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ymbol val="circle"/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Calculations!$Z$39:$Z$40</c:f>
              <c:numCache>
                <c:ptCount val="2"/>
                <c:pt idx="0">
                  <c:v>0.6086898898660599</c:v>
                </c:pt>
                <c:pt idx="1">
                  <c:v>2.308343560909549</c:v>
                </c:pt>
              </c:numCache>
            </c:numRef>
          </c:xVal>
          <c:yVal>
            <c:numRef>
              <c:f>Calculations!$AA$39:$AA$40</c:f>
              <c:numCache>
                <c:ptCount val="2"/>
                <c:pt idx="0">
                  <c:v>2.7700122730914587</c:v>
                </c:pt>
                <c:pt idx="1">
                  <c:v>2.7700122730914587</c:v>
                </c:pt>
              </c:numCache>
            </c:numRef>
          </c:yVal>
          <c:smooth val="1"/>
        </c:ser>
        <c:ser>
          <c:idx val="9"/>
          <c:order val="7"/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Calculations!$AC$39:$AC$40</c:f>
              <c:numCache>
                <c:ptCount val="2"/>
                <c:pt idx="0">
                  <c:v>0</c:v>
                </c:pt>
                <c:pt idx="1">
                  <c:v>4.616687121819098</c:v>
                </c:pt>
              </c:numCache>
            </c:numRef>
          </c:xVal>
          <c:yVal>
            <c:numRef>
              <c:f>Calculations!$AD$39:$AD$40</c:f>
              <c:numCache>
                <c:ptCount val="2"/>
                <c:pt idx="0">
                  <c:v>5.540024546182917</c:v>
                </c:pt>
                <c:pt idx="1">
                  <c:v>0</c:v>
                </c:pt>
              </c:numCache>
            </c:numRef>
          </c:yVal>
          <c:smooth val="1"/>
        </c:ser>
        <c:ser>
          <c:idx val="10"/>
          <c:order val="8"/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Calculations!$Z$46:$Z$47</c:f>
              <c:numCache>
                <c:ptCount val="2"/>
                <c:pt idx="0">
                  <c:v>0</c:v>
                </c:pt>
                <c:pt idx="1">
                  <c:v>4.616687121819098</c:v>
                </c:pt>
              </c:numCache>
            </c:numRef>
          </c:xVal>
          <c:yVal>
            <c:numRef>
              <c:f>Calculations!$AA$46:$AA$47</c:f>
              <c:numCache>
                <c:ptCount val="2"/>
                <c:pt idx="0">
                  <c:v>5.540024546182917</c:v>
                </c:pt>
                <c:pt idx="1">
                  <c:v>0</c:v>
                </c:pt>
              </c:numCache>
            </c:numRef>
          </c:yVal>
          <c:smooth val="1"/>
        </c:ser>
        <c:axId val="48487648"/>
        <c:axId val="33735649"/>
      </c:scatterChart>
      <c:valAx>
        <c:axId val="48487648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Tractors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35649"/>
        <c:crosses val="autoZero"/>
        <c:crossBetween val="midCat"/>
        <c:dispUnits/>
        <c:majorUnit val="1"/>
      </c:valAx>
      <c:valAx>
        <c:axId val="33735649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Coffee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87648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3</xdr:row>
      <xdr:rowOff>19050</xdr:rowOff>
    </xdr:from>
    <xdr:to>
      <xdr:col>14</xdr:col>
      <xdr:colOff>381000</xdr:colOff>
      <xdr:row>20</xdr:row>
      <xdr:rowOff>219075</xdr:rowOff>
    </xdr:to>
    <xdr:graphicFrame>
      <xdr:nvGraphicFramePr>
        <xdr:cNvPr id="1" name="Chart 1028"/>
        <xdr:cNvGraphicFramePr/>
      </xdr:nvGraphicFramePr>
      <xdr:xfrm>
        <a:off x="4295775" y="685800"/>
        <a:ext cx="47434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L15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6384" width="9.140625" style="2" customWidth="1"/>
  </cols>
  <sheetData>
    <row r="2" spans="1:12" s="1" customFormat="1" ht="20.25">
      <c r="A2" s="61" t="s">
        <v>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10" spans="5:7" ht="12.75">
      <c r="E10" s="3"/>
      <c r="F10" s="4" t="s">
        <v>54</v>
      </c>
      <c r="G10" s="5"/>
    </row>
    <row r="11" spans="5:7" ht="12.75">
      <c r="E11" s="6"/>
      <c r="F11" s="7"/>
      <c r="G11" s="8"/>
    </row>
    <row r="12" spans="5:7" ht="12.75">
      <c r="E12" s="6"/>
      <c r="F12" s="7"/>
      <c r="G12" s="8"/>
    </row>
    <row r="13" spans="5:7" ht="12.75">
      <c r="E13" s="6"/>
      <c r="F13" s="7"/>
      <c r="G13" s="8"/>
    </row>
    <row r="14" spans="5:7" ht="12.75">
      <c r="E14" s="6"/>
      <c r="F14" s="7"/>
      <c r="G14" s="8"/>
    </row>
    <row r="15" spans="5:7" ht="12.75">
      <c r="E15" s="9"/>
      <c r="F15" s="10"/>
      <c r="G15" s="11"/>
    </row>
  </sheetData>
  <sheetProtection/>
  <mergeCells count="1">
    <mergeCell ref="A2:L2"/>
  </mergeCells>
  <printOptions/>
  <pageMargins left="0.75" right="0.75" top="1" bottom="1" header="0.5" footer="0.5"/>
  <pageSetup horizontalDpi="96" verticalDpi="96" orientation="portrait" r:id="rId4"/>
  <legacyDrawing r:id="rId3"/>
  <oleObjects>
    <oleObject progId="Word.Document.8" shapeId="1297481" r:id="rId1"/>
    <oleObject progId="Word.Document.8" shapeId="129748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M36"/>
  <sheetViews>
    <sheetView zoomScalePageLayoutView="0" workbookViewId="0" topLeftCell="B4">
      <selection activeCell="I26" sqref="I26"/>
    </sheetView>
  </sheetViews>
  <sheetFormatPr defaultColWidth="9.140625" defaultRowHeight="12.75"/>
  <cols>
    <col min="1" max="1" width="5.28125" style="2" customWidth="1"/>
    <col min="2" max="3" width="9.140625" style="2" customWidth="1"/>
    <col min="4" max="4" width="12.00390625" style="2" customWidth="1"/>
    <col min="5" max="6" width="10.57421875" style="2" customWidth="1"/>
    <col min="7" max="16384" width="9.140625" style="2" customWidth="1"/>
  </cols>
  <sheetData>
    <row r="2" spans="1:13" s="1" customFormat="1" ht="27" customHeight="1">
      <c r="A2" s="62" t="str">
        <f>IF(Calculations!D24=0,"Question 10-8","You have entered a value outside the allowed range")</f>
        <v>Question 10-8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s="13" customFormat="1" ht="12.75" customHeight="1">
      <c r="A3" s="63"/>
      <c r="B3" s="63"/>
      <c r="C3" s="12"/>
      <c r="D3" s="12"/>
      <c r="E3" s="12"/>
      <c r="F3" s="12"/>
      <c r="G3" s="12"/>
      <c r="H3" s="12"/>
      <c r="I3" s="12"/>
      <c r="J3" s="12"/>
      <c r="L3" s="14"/>
      <c r="M3" s="12"/>
    </row>
    <row r="4" spans="1:13" s="13" customFormat="1" ht="18.75" customHeight="1">
      <c r="A4" s="28"/>
      <c r="B4" s="15"/>
      <c r="C4" s="16"/>
      <c r="D4" s="16"/>
      <c r="E4" s="16" t="s">
        <v>57</v>
      </c>
      <c r="F4" s="16" t="s">
        <v>3</v>
      </c>
      <c r="G4" s="17"/>
      <c r="H4" s="17"/>
      <c r="I4" s="17"/>
      <c r="J4" s="17"/>
      <c r="K4" s="17"/>
      <c r="L4" s="12"/>
      <c r="M4" s="12"/>
    </row>
    <row r="5" spans="2:6" ht="18.75" customHeight="1">
      <c r="B5" s="18" t="s">
        <v>55</v>
      </c>
      <c r="C5" s="19"/>
      <c r="D5" s="19"/>
      <c r="E5" s="16"/>
      <c r="F5" s="16"/>
    </row>
    <row r="6" spans="2:11" ht="18.75" customHeight="1">
      <c r="B6" s="60" t="s">
        <v>60</v>
      </c>
      <c r="E6" s="56">
        <v>0.5</v>
      </c>
      <c r="F6" s="66">
        <v>0.5</v>
      </c>
      <c r="G6" s="29"/>
      <c r="H6" s="29"/>
      <c r="I6" s="29"/>
      <c r="J6" s="29"/>
      <c r="K6" s="29"/>
    </row>
    <row r="7" spans="2:11" ht="18.75" customHeight="1">
      <c r="B7" s="20" t="s">
        <v>52</v>
      </c>
      <c r="E7" s="56">
        <v>0</v>
      </c>
      <c r="F7" s="66">
        <v>0</v>
      </c>
      <c r="H7" s="30"/>
      <c r="K7" s="30"/>
    </row>
    <row r="8" spans="2:11" ht="18.75" customHeight="1">
      <c r="B8" s="20" t="s">
        <v>32</v>
      </c>
      <c r="C8" s="20"/>
      <c r="E8" s="56">
        <v>2</v>
      </c>
      <c r="F8" s="67">
        <v>2</v>
      </c>
      <c r="K8" s="30"/>
    </row>
    <row r="9" spans="2:6" ht="18.75" customHeight="1">
      <c r="B9" s="13" t="s">
        <v>53</v>
      </c>
      <c r="C9" s="13"/>
      <c r="E9" s="56">
        <v>7</v>
      </c>
      <c r="F9" s="66">
        <v>7</v>
      </c>
    </row>
    <row r="10" spans="2:6" ht="18.75" customHeight="1">
      <c r="B10" s="13" t="s">
        <v>34</v>
      </c>
      <c r="C10" s="13"/>
      <c r="E10" s="56">
        <v>1.2</v>
      </c>
      <c r="F10" s="66">
        <v>1.2</v>
      </c>
    </row>
    <row r="11" spans="2:6" ht="18.75" customHeight="1">
      <c r="B11" s="18" t="s">
        <v>56</v>
      </c>
      <c r="C11" s="51"/>
      <c r="D11" s="51"/>
      <c r="E11" s="51"/>
      <c r="F11" s="16"/>
    </row>
    <row r="12" spans="2:6" ht="18.75" customHeight="1">
      <c r="B12" s="53" t="s">
        <v>35</v>
      </c>
      <c r="C12" s="52"/>
      <c r="D12" s="52"/>
      <c r="E12" s="56">
        <v>1.2</v>
      </c>
      <c r="F12" s="55">
        <f>Calculations!$D$17*(1+'Figure 10.10'!$F$7/100)</f>
        <v>1.2</v>
      </c>
    </row>
    <row r="13" spans="2:6" ht="18.75" customHeight="1">
      <c r="B13" s="53" t="s">
        <v>5</v>
      </c>
      <c r="C13" s="7"/>
      <c r="D13" s="7"/>
      <c r="E13" s="56">
        <v>0.570537559463253</v>
      </c>
      <c r="F13" s="57">
        <f>Calculations!$D$12*'Figure 10.10'!F12^(Calculations!$D$10/(Calculations!$D$10-Calculations!$D$9))</f>
        <v>0.570537559463253</v>
      </c>
    </row>
    <row r="14" spans="2:6" ht="18.75" customHeight="1">
      <c r="B14" s="53" t="s">
        <v>6</v>
      </c>
      <c r="C14" s="7"/>
      <c r="D14" s="7"/>
      <c r="E14" s="56">
        <v>0.7731308149700734</v>
      </c>
      <c r="F14" s="57">
        <f>Calculations!$D$13*'Figure 10.10'!F12^((1-Calculations!$D$10)/(Calculations!$D$9-Calculations!$D$10))</f>
        <v>0.7731308149700734</v>
      </c>
    </row>
    <row r="15" spans="2:6" ht="18.75" customHeight="1">
      <c r="B15" s="53" t="str">
        <f>IF(Calculations!L21&gt;0,"Exports of Tractors","Imports of Tractors")</f>
        <v>Imports of Tractors</v>
      </c>
      <c r="C15" s="7"/>
      <c r="D15" s="7"/>
      <c r="E15" s="56">
        <v>1.6996536710434889</v>
      </c>
      <c r="F15" s="57">
        <f>ABS(Calculations!L21)</f>
        <v>1.6996536710434889</v>
      </c>
    </row>
    <row r="16" spans="2:6" ht="18.75" customHeight="1">
      <c r="B16" s="53" t="str">
        <f>IF(Calculations!L22&gt;0,"Imports of Coffee","Exports of Coffee")</f>
        <v>Exports of Coffee</v>
      </c>
      <c r="C16" s="7"/>
      <c r="D16" s="7"/>
      <c r="E16" s="56">
        <v>2.0395844052521865</v>
      </c>
      <c r="F16" s="57">
        <f>ABS(Calculations!L22)</f>
        <v>2.0395844052521865</v>
      </c>
    </row>
    <row r="17" spans="2:6" ht="18.75" customHeight="1">
      <c r="B17" s="53" t="s">
        <v>7</v>
      </c>
      <c r="C17" s="7"/>
      <c r="D17" s="7"/>
      <c r="E17" s="56">
        <v>2.5286636775639204</v>
      </c>
      <c r="F17" s="57">
        <f>Calculations!$L$18^Calculations!$D$8*Calculations!$O$39^(1-Calculations!$D$8)</f>
        <v>2.5286636775639204</v>
      </c>
    </row>
    <row r="18" spans="2:6" ht="18.75" customHeight="1">
      <c r="B18" s="59" t="s">
        <v>36</v>
      </c>
      <c r="C18" s="13"/>
      <c r="E18" s="56">
        <v>1</v>
      </c>
      <c r="F18" s="58">
        <v>1</v>
      </c>
    </row>
    <row r="19" spans="2:6" ht="18.75" customHeight="1">
      <c r="B19" s="53" t="s">
        <v>58</v>
      </c>
      <c r="C19" s="7"/>
      <c r="D19" s="7"/>
      <c r="E19" s="56">
        <v>4.616687121819098</v>
      </c>
      <c r="F19" s="57">
        <f>(F12*Calculations!L18+Calculations!L19)/F12</f>
        <v>4.616687121819098</v>
      </c>
    </row>
    <row r="20" spans="3:7" ht="18.75" customHeight="1">
      <c r="C20" s="7"/>
      <c r="D20" s="7"/>
      <c r="E20" s="54"/>
      <c r="F20" s="7"/>
      <c r="G20" s="21"/>
    </row>
    <row r="21" spans="2:7" ht="18.75" customHeight="1">
      <c r="B21" s="53" t="s">
        <v>59</v>
      </c>
      <c r="F21" s="7"/>
      <c r="G21" s="22"/>
    </row>
    <row r="22" ht="18.75" customHeight="1">
      <c r="G22" s="25"/>
    </row>
    <row r="23" ht="18.75" customHeight="1">
      <c r="G23" s="23"/>
    </row>
    <row r="24" ht="18.75" customHeight="1">
      <c r="G24" s="31"/>
    </row>
    <row r="25" ht="18.75" customHeight="1">
      <c r="G25" s="27"/>
    </row>
    <row r="26" ht="18.75" customHeight="1"/>
    <row r="27" ht="18.75" customHeight="1"/>
    <row r="28" ht="18.75" customHeight="1">
      <c r="G28" s="26"/>
    </row>
    <row r="29" ht="18.75" customHeight="1">
      <c r="G29" s="32"/>
    </row>
    <row r="30" ht="18.75" customHeight="1">
      <c r="G30" s="21"/>
    </row>
    <row r="31" ht="18.75" customHeight="1">
      <c r="G31" s="26"/>
    </row>
    <row r="32" ht="18.75" customHeight="1">
      <c r="G32" s="33"/>
    </row>
    <row r="33" ht="18.75" customHeight="1"/>
    <row r="34" ht="18.75" customHeight="1">
      <c r="F34" s="24"/>
    </row>
    <row r="35" ht="18.75" customHeight="1"/>
    <row r="36" ht="18.75" customHeight="1">
      <c r="E36" s="24"/>
    </row>
    <row r="37" ht="18.75" customHeight="1"/>
    <row r="38" ht="18.75" customHeight="1"/>
  </sheetData>
  <sheetProtection/>
  <mergeCells count="2">
    <mergeCell ref="A2:M2"/>
    <mergeCell ref="A3:B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2:AQ137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9" width="10.28125" style="2" customWidth="1"/>
    <col min="10" max="10" width="11.00390625" style="2" customWidth="1"/>
    <col min="11" max="19" width="10.28125" style="2" customWidth="1"/>
    <col min="20" max="22" width="9.140625" style="2" customWidth="1"/>
    <col min="23" max="24" width="9.57421875" style="2" bestFit="1" customWidth="1"/>
    <col min="25" max="25" width="9.140625" style="2" customWidth="1"/>
    <col min="26" max="27" width="9.57421875" style="2" bestFit="1" customWidth="1"/>
    <col min="28" max="28" width="9.140625" style="2" customWidth="1"/>
    <col min="29" max="30" width="9.57421875" style="2" bestFit="1" customWidth="1"/>
    <col min="31" max="16384" width="9.140625" style="2" customWidth="1"/>
  </cols>
  <sheetData>
    <row r="2" spans="1:13" s="1" customFormat="1" ht="27" customHeight="1">
      <c r="A2" s="65" t="s">
        <v>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1" s="37" customFormat="1" ht="12.7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1" s="37" customFormat="1" ht="12.75" customHeight="1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</row>
    <row r="5" spans="1:12" s="37" customFormat="1" ht="12.75" customHeight="1">
      <c r="A5" s="38"/>
      <c r="B5" s="35"/>
      <c r="C5" s="35"/>
      <c r="D5" s="35"/>
      <c r="E5" s="35"/>
      <c r="F5" s="35"/>
      <c r="G5" s="35"/>
      <c r="H5" s="35"/>
      <c r="I5" s="35"/>
      <c r="J5" s="35"/>
      <c r="K5" s="38"/>
      <c r="L5" s="39"/>
    </row>
    <row r="6" spans="1:11" s="37" customFormat="1" ht="12.75" customHeight="1">
      <c r="A6" s="38"/>
      <c r="B6" s="21" t="s">
        <v>10</v>
      </c>
      <c r="C6" s="13"/>
      <c r="D6" s="13"/>
      <c r="E6" s="13"/>
      <c r="F6" s="13"/>
      <c r="G6" s="21" t="s">
        <v>11</v>
      </c>
      <c r="H6" s="35"/>
      <c r="I6" s="35"/>
      <c r="J6" s="35"/>
      <c r="K6" s="38"/>
    </row>
    <row r="7" spans="1:12" s="37" customFormat="1" ht="12.75" customHeight="1">
      <c r="A7" s="38"/>
      <c r="B7" s="35"/>
      <c r="C7" s="35"/>
      <c r="D7" s="35"/>
      <c r="E7" s="35"/>
      <c r="F7" s="35"/>
      <c r="G7" s="35"/>
      <c r="H7" s="35"/>
      <c r="I7" s="35"/>
      <c r="J7" s="40" t="s">
        <v>18</v>
      </c>
      <c r="K7" s="41"/>
      <c r="L7" s="40" t="s">
        <v>17</v>
      </c>
    </row>
    <row r="8" spans="1:6" s="37" customFormat="1" ht="12.75" customHeight="1">
      <c r="A8" s="38"/>
      <c r="B8" s="2" t="s">
        <v>12</v>
      </c>
      <c r="D8" s="24">
        <f>IF(AND('Figure 10.10'!F6&gt;0,'Figure 10.10'!F6&lt;1),'Figure 10.10'!F6,"not allowed")</f>
        <v>0.5</v>
      </c>
      <c r="E8" s="35"/>
      <c r="F8" s="35"/>
    </row>
    <row r="9" spans="1:12" s="37" customFormat="1" ht="12.75" customHeight="1">
      <c r="A9" s="38"/>
      <c r="B9" s="2" t="s">
        <v>50</v>
      </c>
      <c r="D9" s="24">
        <v>0.8</v>
      </c>
      <c r="E9" s="35"/>
      <c r="F9" s="35"/>
      <c r="G9" s="37" t="s">
        <v>22</v>
      </c>
      <c r="J9" s="42">
        <f>$D$12*'Figure 10.10'!F10^(Calculations!$D$10/(Calculations!$D$10-Calculations!$D$9))</f>
        <v>0.570537559463253</v>
      </c>
      <c r="K9" s="42"/>
      <c r="L9" s="42">
        <f>'Figure 10.10'!F13</f>
        <v>0.570537559463253</v>
      </c>
    </row>
    <row r="10" spans="1:20" s="37" customFormat="1" ht="12.75" customHeight="1">
      <c r="A10" s="38"/>
      <c r="B10" s="2" t="s">
        <v>51</v>
      </c>
      <c r="D10" s="24">
        <v>0.2</v>
      </c>
      <c r="E10" s="35"/>
      <c r="F10" s="35"/>
      <c r="G10" s="37" t="s">
        <v>6</v>
      </c>
      <c r="J10" s="42">
        <f>$D$13*'Figure 10.10'!F10^((1-Calculations!$D$10)/(Calculations!$D$9-Calculations!$D$10))</f>
        <v>0.7731308149700734</v>
      </c>
      <c r="K10" s="42"/>
      <c r="L10" s="42">
        <f>'Figure 10.10'!F14</f>
        <v>0.7731308149700734</v>
      </c>
      <c r="T10" s="2"/>
    </row>
    <row r="11" spans="1:12" s="37" customFormat="1" ht="12.75" customHeight="1">
      <c r="A11" s="38"/>
      <c r="E11" s="35"/>
      <c r="F11" s="35"/>
      <c r="J11" s="42"/>
      <c r="K11" s="42"/>
      <c r="L11" s="42"/>
    </row>
    <row r="12" spans="1:12" s="37" customFormat="1" ht="12.75" customHeight="1">
      <c r="A12" s="38"/>
      <c r="B12" s="2" t="s">
        <v>14</v>
      </c>
      <c r="D12" s="24">
        <f>((Calculations!D9*(1-Calculations!D9)^((1-Calculations!D9)/Calculations!D9))/(Calculations!D10*(1-Calculations!D10)^((1-Calculations!D10)/Calculations!D10)))^(Calculations!D9*Calculations!D10/(Calculations!D10-Calculations!D9))</f>
        <v>0.6062866266041593</v>
      </c>
      <c r="E12" s="43"/>
      <c r="F12" s="35"/>
      <c r="G12" s="37" t="s">
        <v>1</v>
      </c>
      <c r="J12" s="42">
        <f>(Calculations!$D$9/(1-Calculations!$D$9))*(J9/J10)</f>
        <v>2.951829358840587</v>
      </c>
      <c r="K12" s="42"/>
      <c r="L12" s="42">
        <f>(Calculations!$D$9/(1-Calculations!$D$9))*('Figure 10.10'!F13/'Figure 10.10'!F14)</f>
        <v>2.951829358840587</v>
      </c>
    </row>
    <row r="13" spans="1:12" s="37" customFormat="1" ht="12.75" customHeight="1">
      <c r="A13" s="38"/>
      <c r="B13" s="2" t="s">
        <v>13</v>
      </c>
      <c r="D13" s="24">
        <f>((1-Calculations!D9)*Calculations!D9^(Calculations!D9/(1-Calculations!D9))/((1-Calculations!D10)*Calculations!D10^(Calculations!D10/(1-Calculations!D10))))^((1-Calculations!D9)*(1-Calculations!D10)/(Calculations!D9-Calculations!D10))</f>
        <v>0.6062866266041592</v>
      </c>
      <c r="G13" s="37" t="s">
        <v>2</v>
      </c>
      <c r="J13" s="42">
        <f>(Calculations!$D$10/(1-Calculations!$D$10))*(J9/J10)</f>
        <v>0.18448933492753666</v>
      </c>
      <c r="K13" s="42"/>
      <c r="L13" s="42">
        <f>(Calculations!$D$10/(1-Calculations!$D$10))*('Figure 10.10'!F13/'Figure 10.10'!F14)</f>
        <v>0.18448933492753666</v>
      </c>
    </row>
    <row r="14" spans="1:12" s="37" customFormat="1" ht="12.75" customHeight="1">
      <c r="A14" s="38"/>
      <c r="B14" s="44" t="s">
        <v>15</v>
      </c>
      <c r="D14" s="24">
        <f>(1-Calculations!D9)*(1-Calculations!D10)/(Calculations!D9-Calculations!D10)</f>
        <v>0.2666666666666666</v>
      </c>
      <c r="E14" s="35"/>
      <c r="F14" s="35"/>
      <c r="J14" s="42"/>
      <c r="K14" s="42"/>
      <c r="L14" s="42"/>
    </row>
    <row r="15" spans="1:12" s="37" customFormat="1" ht="12.75" customHeight="1">
      <c r="A15" s="38"/>
      <c r="B15" s="44" t="s">
        <v>16</v>
      </c>
      <c r="D15" s="24">
        <f>Calculations!D10*(1-Calculations!D9)/(Calculations!D9-Calculations!D10)</f>
        <v>0.06666666666666665</v>
      </c>
      <c r="E15" s="35"/>
      <c r="F15" s="35"/>
      <c r="G15" s="37" t="s">
        <v>37</v>
      </c>
      <c r="J15" s="42">
        <f>IF(J28&lt;0,0,IF(J28&gt;1,'Figure 10.10'!$F$8^Calculations!$D$9*'Figure 10.10'!$F$9^(1-Calculations!$D$9),J12^Calculations!$D$9*J28*'Figure 10.10'!$F$9))</f>
        <v>0.6086898898660599</v>
      </c>
      <c r="K15" s="42"/>
      <c r="L15" s="24">
        <f>IF(Calculations!L28&lt;0,0,IF(Calculations!L28&gt;1,'Figure 10.10'!$F$8^Calculations!$D$9*'Figure 10.10'!$F$9^(1-Calculations!$D$9),Calculations!L12^Calculations!$D$9*Calculations!L28*'Figure 10.10'!$F$9))</f>
        <v>0.6086898898660599</v>
      </c>
    </row>
    <row r="16" spans="1:18" s="37" customFormat="1" ht="12.75" customHeight="1">
      <c r="A16" s="38"/>
      <c r="E16" s="35"/>
      <c r="F16" s="35"/>
      <c r="G16" s="39" t="s">
        <v>38</v>
      </c>
      <c r="J16" s="42">
        <f>IF(J28&lt;0,'Figure 10.10'!$F$8^Calculations!$D$10*'Figure 10.10'!$F$9^(1-Calculations!$D$10),IF(J28&gt;1,0,J13^Calculations!$D$10*(1-J28)*'Figure 10.10'!$F$9))</f>
        <v>4.809596678343645</v>
      </c>
      <c r="K16" s="45"/>
      <c r="L16" s="24">
        <f>IF(Calculations!L28&lt;0,'Figure 10.10'!$F$8^Calculations!$D$10*'Figure 10.10'!$F$9^(1-Calculations!$D$10),IF(Calculations!L28&gt;1,0,Calculations!L13^Calculations!$D$10*(1-Calculations!L28)*'Figure 10.10'!$F$9))</f>
        <v>4.809596678343645</v>
      </c>
      <c r="R16" s="39"/>
    </row>
    <row r="17" spans="1:6" s="37" customFormat="1" ht="12.75" customHeight="1">
      <c r="A17" s="38"/>
      <c r="B17" s="37" t="s">
        <v>49</v>
      </c>
      <c r="C17" s="35"/>
      <c r="D17" s="45">
        <f>IF(OR('Figure 10.10'!F10&gt;5,'Figure 10.10'!F10&lt;=0),"not allowed",'Figure 10.10'!F10)</f>
        <v>1.2</v>
      </c>
      <c r="E17" s="35"/>
      <c r="F17" s="35"/>
    </row>
    <row r="18" spans="1:12" s="37" customFormat="1" ht="12.75" customHeight="1">
      <c r="A18" s="38"/>
      <c r="D18" s="45"/>
      <c r="E18" s="35"/>
      <c r="F18" s="35"/>
      <c r="G18" s="37" t="s">
        <v>39</v>
      </c>
      <c r="J18" s="42">
        <f>Calculations!$D$8*J26/'Figure 10.10'!F10</f>
        <v>2.308343560909549</v>
      </c>
      <c r="K18" s="42"/>
      <c r="L18" s="24">
        <f>Calculations!D8*Calculations!L26/(((1-Calculations!D8)*(1+'Figure 10.10'!F7/100)+Calculations!D8)*'Figure 10.10'!F10)</f>
        <v>2.308343560909549</v>
      </c>
    </row>
    <row r="19" spans="1:12" s="37" customFormat="1" ht="12.75" customHeight="1">
      <c r="A19" s="34"/>
      <c r="B19" s="39" t="s">
        <v>32</v>
      </c>
      <c r="C19" s="39"/>
      <c r="D19" s="46">
        <f>IF(OR('Figure 10.10'!F8&gt;10,'Figure 10.10'!F8&lt;0),"not allowed",'Figure 10.10'!F8)</f>
        <v>2</v>
      </c>
      <c r="E19" s="39"/>
      <c r="F19" s="39"/>
      <c r="G19" s="2" t="s">
        <v>40</v>
      </c>
      <c r="H19" s="2"/>
      <c r="I19" s="2"/>
      <c r="J19" s="24">
        <f>(1-Calculations!$D$8)*J26/'Figure 10.10'!F18</f>
        <v>2.7700122730914587</v>
      </c>
      <c r="K19" s="42"/>
      <c r="L19" s="24">
        <f>L16+Calculations!L22</f>
        <v>2.7700122730914587</v>
      </c>
    </row>
    <row r="20" spans="1:12" s="37" customFormat="1" ht="12.75" customHeight="1">
      <c r="A20" s="34"/>
      <c r="B20" s="39" t="s">
        <v>33</v>
      </c>
      <c r="C20" s="39"/>
      <c r="D20" s="46">
        <f>IF(OR('Figure 10.10'!F9&gt;10,'Figure 10.10'!F9&lt;0),"not allowed",'Figure 10.10'!F9)</f>
        <v>7</v>
      </c>
      <c r="E20" s="39"/>
      <c r="F20" s="39"/>
      <c r="G20" s="2"/>
      <c r="H20" s="2"/>
      <c r="I20" s="2"/>
      <c r="J20" s="2"/>
      <c r="K20" s="2"/>
      <c r="L20" s="2"/>
    </row>
    <row r="21" spans="2:18" ht="12.75">
      <c r="B21" s="13"/>
      <c r="C21" s="13"/>
      <c r="D21" s="13"/>
      <c r="E21" s="13"/>
      <c r="F21" s="13"/>
      <c r="G21" s="37" t="s">
        <v>41</v>
      </c>
      <c r="H21" s="37"/>
      <c r="I21" s="37"/>
      <c r="J21" s="42">
        <f>J15-J18</f>
        <v>-1.6996536710434889</v>
      </c>
      <c r="K21" s="42"/>
      <c r="L21" s="42">
        <f>Calculations!L15-Calculations!L18</f>
        <v>-1.6996536710434889</v>
      </c>
      <c r="R21" s="37"/>
    </row>
    <row r="22" spans="2:18" ht="12.75">
      <c r="B22" s="2" t="s">
        <v>17</v>
      </c>
      <c r="D22" s="2">
        <f>IF(AND('Figure 10.10'!F7&gt;=0,'Figure 10.10'!F7&lt;100),'Figure 10.10'!F7,"not allowed")</f>
        <v>0</v>
      </c>
      <c r="E22" s="13"/>
      <c r="F22" s="13"/>
      <c r="G22" s="37" t="s">
        <v>42</v>
      </c>
      <c r="H22" s="37"/>
      <c r="I22" s="37"/>
      <c r="J22" s="42">
        <f>J21*'Figure 10.10'!F10</f>
        <v>-2.0395844052521865</v>
      </c>
      <c r="K22" s="42"/>
      <c r="L22" s="42">
        <f>Calculations!L21*Calculations!D17</f>
        <v>-2.0395844052521865</v>
      </c>
      <c r="R22" s="37"/>
    </row>
    <row r="23" spans="2:5" ht="12.75">
      <c r="B23" s="13"/>
      <c r="C23" s="13"/>
      <c r="D23" s="13"/>
      <c r="E23" s="13"/>
    </row>
    <row r="24" spans="2:12" ht="12.75">
      <c r="B24" s="13" t="s">
        <v>61</v>
      </c>
      <c r="C24" s="13"/>
      <c r="D24" s="13">
        <f>COUNTIF(D8:D22,"not allowed")</f>
        <v>0</v>
      </c>
      <c r="G24" s="2" t="s">
        <v>21</v>
      </c>
      <c r="H24" s="37"/>
      <c r="I24" s="37"/>
      <c r="J24" s="24">
        <f>$J$18^Calculations!$D$8*$L$39^(1-Calculations!$D$8)</f>
        <v>2.5286636775639204</v>
      </c>
      <c r="K24" s="42"/>
      <c r="L24" s="42">
        <f>'Figure 10.10'!F17</f>
        <v>2.5286636775639204</v>
      </c>
    </row>
    <row r="25" spans="7:12" ht="12.75">
      <c r="G25" s="2" t="s">
        <v>8</v>
      </c>
      <c r="J25" s="2">
        <v>0</v>
      </c>
      <c r="L25" s="24">
        <f>-'Figure 10.10'!F7/100*Calculations!L21</f>
        <v>0</v>
      </c>
    </row>
    <row r="26" spans="7:12" ht="12.75">
      <c r="G26" s="37" t="s">
        <v>20</v>
      </c>
      <c r="H26" s="37"/>
      <c r="I26" s="37"/>
      <c r="J26" s="42">
        <f>J15*'Figure 10.10'!F10+J16</f>
        <v>5.540024546182917</v>
      </c>
      <c r="K26" s="42"/>
      <c r="L26" s="42">
        <f>Calculations!L15*Calculations!D17+Calculations!L16</f>
        <v>5.540024546182917</v>
      </c>
    </row>
    <row r="28" spans="7:12" ht="12.75">
      <c r="G28" s="37" t="s">
        <v>19</v>
      </c>
      <c r="H28" s="37"/>
      <c r="I28" s="37"/>
      <c r="J28" s="42">
        <f>-$D$15+$D$14*('Figure 10.10'!$F$8/'Figure 10.10'!$F$9)/(J9/J10)</f>
        <v>0.03657842907342329</v>
      </c>
      <c r="K28" s="42"/>
      <c r="L28" s="42">
        <f>-$D$15+$D$14*('Figure 10.10'!$F$8/'Figure 10.10'!$F$9)/('Figure 10.10'!F13/'Figure 10.10'!F14)</f>
        <v>0.03657842907342329</v>
      </c>
    </row>
    <row r="30" ht="12.75">
      <c r="B30" s="21" t="s">
        <v>23</v>
      </c>
    </row>
    <row r="32" spans="2:3" ht="12.75">
      <c r="B32" s="2" t="s">
        <v>0</v>
      </c>
      <c r="C32" s="2">
        <v>100</v>
      </c>
    </row>
    <row r="33" spans="12:18" ht="12.75">
      <c r="L33" s="37"/>
      <c r="M33" s="37"/>
      <c r="P33" s="37"/>
      <c r="Q33" s="37"/>
      <c r="R33" s="39"/>
    </row>
    <row r="34" ht="12.75">
      <c r="L34" s="39"/>
    </row>
    <row r="35" spans="1:43" ht="26.25" customHeight="1">
      <c r="A35" s="47"/>
      <c r="B35" s="64" t="s">
        <v>24</v>
      </c>
      <c r="C35" s="64"/>
      <c r="D35" s="64"/>
      <c r="E35" s="64"/>
      <c r="F35" s="47"/>
      <c r="G35" s="64" t="s">
        <v>9</v>
      </c>
      <c r="H35" s="64"/>
      <c r="I35" s="47"/>
      <c r="J35" s="47"/>
      <c r="K35" s="64" t="s">
        <v>25</v>
      </c>
      <c r="L35" s="64"/>
      <c r="M35" s="47"/>
      <c r="N35" s="64" t="s">
        <v>26</v>
      </c>
      <c r="O35" s="64"/>
      <c r="P35" s="47"/>
      <c r="Q35" s="64" t="s">
        <v>27</v>
      </c>
      <c r="R35" s="64"/>
      <c r="S35" s="47"/>
      <c r="T35" s="64" t="s">
        <v>27</v>
      </c>
      <c r="U35" s="64"/>
      <c r="V35" s="47"/>
      <c r="W35" s="64" t="s">
        <v>29</v>
      </c>
      <c r="X35" s="64"/>
      <c r="Y35" s="47"/>
      <c r="Z35" s="64" t="s">
        <v>29</v>
      </c>
      <c r="AA35" s="64"/>
      <c r="AB35" s="47"/>
      <c r="AC35" s="64" t="s">
        <v>28</v>
      </c>
      <c r="AD35" s="64"/>
      <c r="AE35" s="48"/>
      <c r="AF35" s="48"/>
      <c r="AG35" s="48"/>
      <c r="AH35" s="41"/>
      <c r="AI35" s="41"/>
      <c r="AJ35" s="41"/>
      <c r="AK35" s="41"/>
      <c r="AL35" s="41"/>
      <c r="AM35" s="41"/>
      <c r="AN35" s="41"/>
      <c r="AO35" s="41"/>
      <c r="AP35" s="41"/>
      <c r="AQ35" s="41"/>
    </row>
    <row r="36" spans="2:30" ht="25.5" customHeight="1">
      <c r="B36" s="49" t="s">
        <v>43</v>
      </c>
      <c r="C36" s="49" t="s">
        <v>44</v>
      </c>
      <c r="D36" s="49" t="s">
        <v>45</v>
      </c>
      <c r="E36" s="49" t="s">
        <v>46</v>
      </c>
      <c r="F36" s="49"/>
      <c r="G36" s="49" t="s">
        <v>37</v>
      </c>
      <c r="H36" s="49" t="s">
        <v>38</v>
      </c>
      <c r="I36" s="50"/>
      <c r="J36" s="49"/>
      <c r="K36" s="49" t="s">
        <v>47</v>
      </c>
      <c r="L36" s="49" t="s">
        <v>48</v>
      </c>
      <c r="M36" s="49"/>
      <c r="N36" s="49" t="s">
        <v>47</v>
      </c>
      <c r="O36" s="49" t="s">
        <v>48</v>
      </c>
      <c r="P36" s="50"/>
      <c r="Q36" s="50" t="s">
        <v>47</v>
      </c>
      <c r="R36" s="50" t="s">
        <v>48</v>
      </c>
      <c r="S36" s="50"/>
      <c r="T36" s="50" t="s">
        <v>47</v>
      </c>
      <c r="U36" s="50" t="s">
        <v>48</v>
      </c>
      <c r="V36" s="50"/>
      <c r="W36" s="50" t="s">
        <v>47</v>
      </c>
      <c r="X36" s="50" t="s">
        <v>48</v>
      </c>
      <c r="Y36" s="50"/>
      <c r="Z36" s="50" t="s">
        <v>47</v>
      </c>
      <c r="AA36" s="50" t="s">
        <v>48</v>
      </c>
      <c r="AB36" s="50"/>
      <c r="AC36" s="50" t="s">
        <v>47</v>
      </c>
      <c r="AD36" s="50" t="s">
        <v>48</v>
      </c>
    </row>
    <row r="37" spans="2:15" ht="12.75">
      <c r="B37" s="24">
        <v>0.001</v>
      </c>
      <c r="C37" s="24">
        <f>(Calculations!$D$9*(1-Calculations!$D$10)*'Figure 10.10'!$F$8*B37)/(Calculations!$D$10*(1-Calculations!$D$9)*'Figure 10.10'!$F$9+(Calculations!$D$9-Calculations!$D$10)*B37)</f>
        <v>0.0045616535994297954</v>
      </c>
      <c r="D37" s="24">
        <f>'Figure 10.10'!$F$9-B37</f>
        <v>6.999</v>
      </c>
      <c r="E37" s="24">
        <f>'Figure 10.10'!$F$8-C37</f>
        <v>1.9954383464005703</v>
      </c>
      <c r="F37" s="24"/>
      <c r="G37" s="24">
        <f>B37^(1-Calculations!$D$9)*C37^Calculations!$D$9</f>
        <v>0.0033674243065017935</v>
      </c>
      <c r="H37" s="24">
        <f>D37^(1-Calculations!$D$10)*E37^Calculations!$D$10</f>
        <v>5.44548363942771</v>
      </c>
      <c r="K37" s="24">
        <v>0</v>
      </c>
      <c r="L37" s="24">
        <f>$J$26-'Figure 10.10'!$F$10*K37</f>
        <v>5.540024546182917</v>
      </c>
      <c r="M37" s="24"/>
      <c r="N37" s="24">
        <v>0</v>
      </c>
      <c r="O37" s="24">
        <f>Calculations!$L$26-'Figure 10.10'!$F$10*N37</f>
        <v>5.540024546182917</v>
      </c>
    </row>
    <row r="38" spans="2:15" ht="12.75">
      <c r="B38" s="24">
        <f>B37+'Figure 10.10'!$F$9/$C$32-0.001</f>
        <v>0.07</v>
      </c>
      <c r="C38" s="24">
        <f>(Calculations!$D$9*(1-Calculations!$D$10)*'Figure 10.10'!$F$8*B38)/(Calculations!$D$10*(1-Calculations!$D$9)*'Figure 10.10'!$F$9+(Calculations!$D$9-Calculations!$D$10)*B38)</f>
        <v>0.2782608695652175</v>
      </c>
      <c r="D38" s="24">
        <f>'Figure 10.10'!$F$9-B38</f>
        <v>6.93</v>
      </c>
      <c r="E38" s="24">
        <f>'Figure 10.10'!$F$8-C38</f>
        <v>1.7217391304347824</v>
      </c>
      <c r="F38" s="24"/>
      <c r="G38" s="24">
        <f>B38^(1-Calculations!$D$9)*C38^Calculations!$D$9</f>
        <v>0.21114525124024025</v>
      </c>
      <c r="H38" s="24">
        <f>D38^(1-Calculations!$D$10)*E38^Calculations!$D$10</f>
        <v>5.245417461858699</v>
      </c>
      <c r="J38" s="2" t="s">
        <v>30</v>
      </c>
      <c r="K38" s="24">
        <f>J15</f>
        <v>0.6086898898660599</v>
      </c>
      <c r="L38" s="24">
        <f>$J$26-'Figure 10.10'!$F$10*K38</f>
        <v>4.809596678343645</v>
      </c>
      <c r="M38" s="24"/>
      <c r="N38" s="24">
        <f>Calculations!L15</f>
        <v>0.6086898898660599</v>
      </c>
      <c r="O38" s="24">
        <f>Calculations!$L$26-'Figure 10.10'!$F$10*N38</f>
        <v>4.809596678343645</v>
      </c>
    </row>
    <row r="39" spans="2:31" ht="12.75">
      <c r="B39" s="24">
        <f>B38+'Figure 10.10'!$F$9/$C$32</f>
        <v>0.14</v>
      </c>
      <c r="C39" s="24">
        <f>(Calculations!$D$9*(1-Calculations!$D$10)*'Figure 10.10'!$F$8*B39)/(Calculations!$D$10*(1-Calculations!$D$9)*'Figure 10.10'!$F$9+(Calculations!$D$9-Calculations!$D$10)*B39)</f>
        <v>0.49230769230769245</v>
      </c>
      <c r="D39" s="24">
        <f>'Figure 10.10'!$F$9-B39</f>
        <v>6.86</v>
      </c>
      <c r="E39" s="24">
        <f>'Figure 10.10'!$F$8-C39</f>
        <v>1.5076923076923077</v>
      </c>
      <c r="F39" s="24"/>
      <c r="G39" s="24">
        <f>B39^(1-Calculations!$D$9)*C39^Calculations!$D$9</f>
        <v>0.3828378816384896</v>
      </c>
      <c r="H39" s="24">
        <f>D39^(1-Calculations!$D$10)*E39^Calculations!$D$10</f>
        <v>5.066660870206228</v>
      </c>
      <c r="J39" s="2" t="s">
        <v>31</v>
      </c>
      <c r="K39" s="24">
        <f>J18</f>
        <v>2.308343560909549</v>
      </c>
      <c r="L39" s="24">
        <f>$J$26-'Figure 10.10'!$F$10*K39</f>
        <v>2.7700122730914587</v>
      </c>
      <c r="M39" s="24"/>
      <c r="N39" s="24">
        <f>Calculations!L18</f>
        <v>2.308343560909549</v>
      </c>
      <c r="O39" s="24">
        <f>Calculations!$L$26-'Figure 10.10'!$F$10*N39</f>
        <v>2.7700122730914587</v>
      </c>
      <c r="Q39" s="24">
        <v>0.1</v>
      </c>
      <c r="R39" s="24">
        <f>MIN($J$24^(1/(1-Calculations!$D$8))*Q39^(Calculations!$D$8/(Calculations!$D$8-1)),20)</f>
        <v>20</v>
      </c>
      <c r="S39" s="24"/>
      <c r="T39" s="24">
        <v>0.1</v>
      </c>
      <c r="U39" s="24">
        <f>MIN('Figure 10.10'!$F$17^(1/(1-Calculations!$D$8))*T39^(Calculations!$D$8/(Calculations!$D$8-1)),20)</f>
        <v>20</v>
      </c>
      <c r="W39" s="24">
        <f>J18</f>
        <v>2.308343560909549</v>
      </c>
      <c r="X39" s="24">
        <f>L39</f>
        <v>2.7700122730914587</v>
      </c>
      <c r="Y39" s="24"/>
      <c r="Z39" s="24">
        <f>Z43</f>
        <v>0.6086898898660599</v>
      </c>
      <c r="AA39" s="24">
        <f>AA43</f>
        <v>2.7700122730914587</v>
      </c>
      <c r="AB39" s="24"/>
      <c r="AC39" s="24">
        <v>0</v>
      </c>
      <c r="AD39" s="24">
        <f>('Figure 10.10'!F12*N38+O38)</f>
        <v>5.540024546182917</v>
      </c>
      <c r="AE39" s="24"/>
    </row>
    <row r="40" spans="2:31" ht="12.75">
      <c r="B40" s="24">
        <f>B39+'Figure 10.10'!$F$9/$C$32</f>
        <v>0.21000000000000002</v>
      </c>
      <c r="C40" s="24">
        <f>(Calculations!$D$9*(1-Calculations!$D$10)*'Figure 10.10'!$F$8*B40)/(Calculations!$D$10*(1-Calculations!$D$9)*'Figure 10.10'!$F$9+(Calculations!$D$9-Calculations!$D$10)*B40)</f>
        <v>0.6620689655172416</v>
      </c>
      <c r="D40" s="24">
        <f>'Figure 10.10'!$F$9-B40</f>
        <v>6.79</v>
      </c>
      <c r="E40" s="24">
        <f>'Figure 10.10'!$F$8-C40</f>
        <v>1.3379310344827584</v>
      </c>
      <c r="F40" s="24"/>
      <c r="G40" s="24">
        <f>B40^(1-Calculations!$D$9)*C40^Calculations!$D$9</f>
        <v>0.5262189014228511</v>
      </c>
      <c r="H40" s="24">
        <f>D40^(1-Calculations!$D$10)*E40^Calculations!$D$10</f>
        <v>4.906621584186954</v>
      </c>
      <c r="K40" s="24">
        <f>J26/'Figure 10.10'!F10</f>
        <v>4.616687121819098</v>
      </c>
      <c r="L40" s="24">
        <f>$J$26-'Figure 10.10'!$F$10*K40</f>
        <v>0</v>
      </c>
      <c r="M40" s="24"/>
      <c r="N40" s="24">
        <f>Calculations!L26/D17</f>
        <v>4.616687121819098</v>
      </c>
      <c r="O40" s="24">
        <f>Calculations!$L$26-'Figure 10.10'!$F$10*N40</f>
        <v>0</v>
      </c>
      <c r="Q40" s="24">
        <f>Q39+11*'Figure 10.10'!$F$8^Calculations!$D$9*'Figure 10.10'!$F$9^(1-Calculations!$D$9)/$C$32-0.1</f>
        <v>0.2826417345671567</v>
      </c>
      <c r="R40" s="24">
        <f>MIN($J$24^(1/(1-Calculations!$D$8))*Q40^(Calculations!$D$8/(Calculations!$D$8-1)),20)</f>
        <v>20</v>
      </c>
      <c r="S40" s="24"/>
      <c r="T40" s="24">
        <f>T39+11*'Figure 10.10'!$F$8^Calculations!$D$9*'Figure 10.10'!$F$9^(1-Calculations!$D$9)/$C$32-0.1</f>
        <v>0.2826417345671567</v>
      </c>
      <c r="U40" s="24">
        <f>MIN('Figure 10.10'!$F$17^(1/(1-Calculations!$D$8))*T40^(Calculations!$D$8/(Calculations!$D$8-1)),20)</f>
        <v>20</v>
      </c>
      <c r="W40" s="24">
        <f>J18</f>
        <v>2.308343560909549</v>
      </c>
      <c r="X40" s="24">
        <f>J16</f>
        <v>4.809596678343645</v>
      </c>
      <c r="Y40" s="24"/>
      <c r="Z40" s="24">
        <f>Calculations!L18</f>
        <v>2.308343560909549</v>
      </c>
      <c r="AA40" s="24">
        <f>O39</f>
        <v>2.7700122730914587</v>
      </c>
      <c r="AB40" s="24"/>
      <c r="AC40" s="24">
        <f>('Figure 10.10'!F12*N38+O38)/'Figure 10.10'!F12</f>
        <v>4.616687121819098</v>
      </c>
      <c r="AD40" s="24">
        <v>0</v>
      </c>
      <c r="AE40" s="24"/>
    </row>
    <row r="41" spans="2:31" ht="12.75">
      <c r="B41" s="24">
        <f>B40+'Figure 10.10'!$F$9/$C$32</f>
        <v>0.28</v>
      </c>
      <c r="C41" s="24">
        <f>(Calculations!$D$9*(1-Calculations!$D$10)*'Figure 10.10'!$F$8*B41)/(Calculations!$D$10*(1-Calculations!$D$9)*'Figure 10.10'!$F$9+(Calculations!$D$9-Calculations!$D$10)*B41)</f>
        <v>0.8000000000000003</v>
      </c>
      <c r="D41" s="24">
        <f>'Figure 10.10'!$F$9-B41</f>
        <v>6.72</v>
      </c>
      <c r="E41" s="24">
        <f>'Figure 10.10'!$F$8-C41</f>
        <v>1.1999999999999997</v>
      </c>
      <c r="F41" s="24"/>
      <c r="G41" s="24">
        <f>B41^(1-Calculations!$D$9)*C41^Calculations!$D$9</f>
        <v>0.6484904664791594</v>
      </c>
      <c r="H41" s="24">
        <f>D41^(1-Calculations!$D$10)*E41^Calculations!$D$10</f>
        <v>4.761367109983968</v>
      </c>
      <c r="Q41" s="24">
        <f>Q40+11*'Figure 10.10'!$F$8^Calculations!$D$9*'Figure 10.10'!$F$9^(1-Calculations!$D$9)/$C$32</f>
        <v>0.5652834691343134</v>
      </c>
      <c r="R41" s="24">
        <f>MIN($J$24^(1/(1-Calculations!$D$8))*Q41^(Calculations!$D$8/(Calculations!$D$8-1)),20)</f>
        <v>11.311386841053757</v>
      </c>
      <c r="S41" s="24"/>
      <c r="T41" s="24">
        <f>T40+11*'Figure 10.10'!$F$8^Calculations!$D$9*'Figure 10.10'!$F$9^(1-Calculations!$D$9)/$C$32</f>
        <v>0.5652834691343134</v>
      </c>
      <c r="U41" s="24">
        <f>MIN('Figure 10.10'!$F$17^(1/(1-Calculations!$D$8))*T41^(Calculations!$D$8/(Calculations!$D$8-1)),20)</f>
        <v>11.311386841053757</v>
      </c>
      <c r="W41" s="24"/>
      <c r="X41" s="24"/>
      <c r="Y41" s="24"/>
      <c r="Z41" s="24"/>
      <c r="AA41" s="24"/>
      <c r="AB41" s="24"/>
      <c r="AC41" s="24"/>
      <c r="AD41" s="24"/>
      <c r="AE41" s="24"/>
    </row>
    <row r="42" spans="2:31" ht="12.75">
      <c r="B42" s="24">
        <f>B41+'Figure 10.10'!$F$9/$C$32</f>
        <v>0.35000000000000003</v>
      </c>
      <c r="C42" s="24">
        <f>(Calculations!$D$9*(1-Calculations!$D$10)*'Figure 10.10'!$F$8*B42)/(Calculations!$D$10*(1-Calculations!$D$9)*'Figure 10.10'!$F$9+(Calculations!$D$9-Calculations!$D$10)*B42)</f>
        <v>0.9142857142857146</v>
      </c>
      <c r="D42" s="24">
        <f>'Figure 10.10'!$F$9-B42</f>
        <v>6.65</v>
      </c>
      <c r="E42" s="24">
        <f>'Figure 10.10'!$F$8-C42</f>
        <v>1.0857142857142854</v>
      </c>
      <c r="F42" s="24"/>
      <c r="G42" s="24">
        <f>B42^(1-Calculations!$D$9)*C42^Calculations!$D$9</f>
        <v>0.7545345938052521</v>
      </c>
      <c r="H42" s="24">
        <f>D42^(1-Calculations!$D$10)*E42^Calculations!$D$10</f>
        <v>4.628075409478568</v>
      </c>
      <c r="Q42" s="24">
        <f>Q41+11*'Figure 10.10'!$F$8^Calculations!$D$9*'Figure 10.10'!$F$9^(1-Calculations!$D$9)/$C$32</f>
        <v>0.84792520370147</v>
      </c>
      <c r="R42" s="24">
        <f>MIN($J$24^(1/(1-Calculations!$D$8))*Q42^(Calculations!$D$8/(Calculations!$D$8-1)),20)</f>
        <v>7.540924560702507</v>
      </c>
      <c r="S42" s="24"/>
      <c r="T42" s="24">
        <f>T41+11*'Figure 10.10'!$F$8^Calculations!$D$9*'Figure 10.10'!$F$9^(1-Calculations!$D$9)/$C$32</f>
        <v>0.84792520370147</v>
      </c>
      <c r="U42" s="24">
        <f>MIN('Figure 10.10'!$F$17^(1/(1-Calculations!$D$8))*T42^(Calculations!$D$8/(Calculations!$D$8-1)),20)</f>
        <v>7.540924560702507</v>
      </c>
      <c r="W42" s="24">
        <f>W40</f>
        <v>2.308343560909549</v>
      </c>
      <c r="X42" s="24">
        <f>X40</f>
        <v>4.809596678343645</v>
      </c>
      <c r="Y42" s="24"/>
      <c r="Z42" s="24">
        <f>N38</f>
        <v>0.6086898898660599</v>
      </c>
      <c r="AA42" s="24">
        <f>O38</f>
        <v>4.809596678343645</v>
      </c>
      <c r="AB42" s="24"/>
      <c r="AC42" s="24"/>
      <c r="AD42" s="24"/>
      <c r="AE42" s="24"/>
    </row>
    <row r="43" spans="2:31" ht="12.75">
      <c r="B43" s="24">
        <f>B42+'Figure 10.10'!$F$9/$C$32</f>
        <v>0.42000000000000004</v>
      </c>
      <c r="C43" s="24">
        <f>(Calculations!$D$9*(1-Calculations!$D$10)*'Figure 10.10'!$F$8*B43)/(Calculations!$D$10*(1-Calculations!$D$9)*'Figure 10.10'!$F$9+(Calculations!$D$9-Calculations!$D$10)*B43)</f>
        <v>1.010526315789474</v>
      </c>
      <c r="D43" s="24">
        <f>'Figure 10.10'!$F$9-B43</f>
        <v>6.58</v>
      </c>
      <c r="E43" s="24">
        <f>'Figure 10.10'!$F$8-C43</f>
        <v>0.9894736842105261</v>
      </c>
      <c r="F43" s="24"/>
      <c r="G43" s="24">
        <f>B43^(1-Calculations!$D$9)*C43^Calculations!$D$9</f>
        <v>0.8477893571387053</v>
      </c>
      <c r="H43" s="24">
        <f>D43^(1-Calculations!$D$10)*E43^Calculations!$D$10</f>
        <v>4.504655305649489</v>
      </c>
      <c r="Q43" s="24">
        <f>Q42+11*'Figure 10.10'!$F$8^Calculations!$D$9*'Figure 10.10'!$F$9^(1-Calculations!$D$9)/$C$32</f>
        <v>1.1305669382686265</v>
      </c>
      <c r="R43" s="24">
        <f>MIN($J$24^(1/(1-Calculations!$D$8))*Q43^(Calculations!$D$8/(Calculations!$D$8-1)),20)</f>
        <v>5.65569342052688</v>
      </c>
      <c r="S43" s="24"/>
      <c r="T43" s="24">
        <f>T42+11*'Figure 10.10'!$F$8^Calculations!$D$9*'Figure 10.10'!$F$9^(1-Calculations!$D$9)/$C$32</f>
        <v>1.1305669382686265</v>
      </c>
      <c r="U43" s="24">
        <f>MIN('Figure 10.10'!$F$17^(1/(1-Calculations!$D$8))*T43^(Calculations!$D$8/(Calculations!$D$8-1)),20)</f>
        <v>5.65569342052688</v>
      </c>
      <c r="W43" s="24">
        <f>K38</f>
        <v>0.6086898898660599</v>
      </c>
      <c r="X43" s="24">
        <f>L38</f>
        <v>4.809596678343645</v>
      </c>
      <c r="Y43" s="24"/>
      <c r="Z43" s="24">
        <f>N38</f>
        <v>0.6086898898660599</v>
      </c>
      <c r="AA43" s="24">
        <f>O39</f>
        <v>2.7700122730914587</v>
      </c>
      <c r="AB43" s="24"/>
      <c r="AC43" s="24"/>
      <c r="AD43" s="24"/>
      <c r="AE43" s="24"/>
    </row>
    <row r="44" spans="2:31" ht="12.75">
      <c r="B44" s="24">
        <f>B43+'Figure 10.10'!$F$9/$C$32</f>
        <v>0.49000000000000005</v>
      </c>
      <c r="C44" s="24">
        <f>(Calculations!$D$9*(1-Calculations!$D$10)*'Figure 10.10'!$F$8*B44)/(Calculations!$D$10*(1-Calculations!$D$9)*'Figure 10.10'!$F$9+(Calculations!$D$9-Calculations!$D$10)*B44)</f>
        <v>1.0926829268292686</v>
      </c>
      <c r="D44" s="24">
        <f>'Figure 10.10'!$F$9-B44</f>
        <v>6.51</v>
      </c>
      <c r="E44" s="24">
        <f>'Figure 10.10'!$F$8-C44</f>
        <v>0.9073170731707314</v>
      </c>
      <c r="F44" s="24"/>
      <c r="G44" s="24">
        <f>B44^(1-Calculations!$D$9)*C44^Calculations!$D$9</f>
        <v>0.9307532081398742</v>
      </c>
      <c r="H44" s="24">
        <f>D44^(1-Calculations!$D$10)*E44^Calculations!$D$10</f>
        <v>4.389515707885524</v>
      </c>
      <c r="Q44" s="24">
        <f>Q43+11*'Figure 10.10'!$F$8^Calculations!$D$9*'Figure 10.10'!$F$9^(1-Calculations!$D$9)/$C$32</f>
        <v>1.413208672835783</v>
      </c>
      <c r="R44" s="24">
        <f>MIN($J$24^(1/(1-Calculations!$D$8))*Q44^(Calculations!$D$8/(Calculations!$D$8-1)),20)</f>
        <v>4.524554736421504</v>
      </c>
      <c r="S44" s="24"/>
      <c r="T44" s="24">
        <f>T43+11*'Figure 10.10'!$F$8^Calculations!$D$9*'Figure 10.10'!$F$9^(1-Calculations!$D$9)/$C$32</f>
        <v>1.413208672835783</v>
      </c>
      <c r="U44" s="24">
        <f>MIN('Figure 10.10'!$F$17^(1/(1-Calculations!$D$8))*T44^(Calculations!$D$8/(Calculations!$D$8-1)),20)</f>
        <v>4.524554736421504</v>
      </c>
      <c r="W44" s="24"/>
      <c r="X44" s="24"/>
      <c r="Y44" s="24"/>
      <c r="Z44" s="24"/>
      <c r="AA44" s="24"/>
      <c r="AB44" s="24"/>
      <c r="AC44" s="24"/>
      <c r="AD44" s="24"/>
      <c r="AE44" s="24"/>
    </row>
    <row r="45" spans="2:31" ht="12.75">
      <c r="B45" s="24">
        <f>B44+'Figure 10.10'!$F$9/$C$32</f>
        <v>0.56</v>
      </c>
      <c r="C45" s="24">
        <f>(Calculations!$D$9*(1-Calculations!$D$10)*'Figure 10.10'!$F$8*B45)/(Calculations!$D$10*(1-Calculations!$D$9)*'Figure 10.10'!$F$9+(Calculations!$D$9-Calculations!$D$10)*B45)</f>
        <v>1.1636363636363638</v>
      </c>
      <c r="D45" s="24">
        <f>'Figure 10.10'!$F$9-B45</f>
        <v>6.4399999999999995</v>
      </c>
      <c r="E45" s="24">
        <f>'Figure 10.10'!$F$8-C45</f>
        <v>0.8363636363636362</v>
      </c>
      <c r="F45" s="24"/>
      <c r="G45" s="24">
        <f>B45^(1-Calculations!$D$9)*C45^Calculations!$D$9</f>
        <v>1.0052901632096778</v>
      </c>
      <c r="H45" s="24">
        <f>D45^(1-Calculations!$D$10)*E45^Calculations!$D$10</f>
        <v>4.281418904278079</v>
      </c>
      <c r="Q45" s="24">
        <f>Q44+11*'Figure 10.10'!$F$8^Calculations!$D$9*'Figure 10.10'!$F$9^(1-Calculations!$D$9)/$C$32</f>
        <v>1.6958504074029397</v>
      </c>
      <c r="R45" s="24">
        <f>MIN($J$24^(1/(1-Calculations!$D$8))*Q45^(Calculations!$D$8/(Calculations!$D$8-1)),20)</f>
        <v>3.7704622803512535</v>
      </c>
      <c r="S45" s="24"/>
      <c r="T45" s="24">
        <f>T44+11*'Figure 10.10'!$F$8^Calculations!$D$9*'Figure 10.10'!$F$9^(1-Calculations!$D$9)/$C$32</f>
        <v>1.6958504074029397</v>
      </c>
      <c r="U45" s="24">
        <f>MIN('Figure 10.10'!$F$17^(1/(1-Calculations!$D$8))*T45^(Calculations!$D$8/(Calculations!$D$8-1)),20)</f>
        <v>3.7704622803512535</v>
      </c>
      <c r="W45" s="24"/>
      <c r="X45" s="24"/>
      <c r="Y45" s="24"/>
      <c r="Z45" s="24"/>
      <c r="AA45" s="24"/>
      <c r="AB45" s="24"/>
      <c r="AC45" s="24"/>
      <c r="AD45" s="24"/>
      <c r="AE45" s="24"/>
    </row>
    <row r="46" spans="2:31" ht="12.75">
      <c r="B46" s="24">
        <f>B45+'Figure 10.10'!$F$9/$C$32</f>
        <v>0.6300000000000001</v>
      </c>
      <c r="C46" s="24">
        <f>(Calculations!$D$9*(1-Calculations!$D$10)*'Figure 10.10'!$F$8*B46)/(Calculations!$D$10*(1-Calculations!$D$9)*'Figure 10.10'!$F$9+(Calculations!$D$9-Calculations!$D$10)*B46)</f>
        <v>1.2255319148936172</v>
      </c>
      <c r="D46" s="24">
        <f>'Figure 10.10'!$F$9-B46</f>
        <v>6.37</v>
      </c>
      <c r="E46" s="24">
        <f>'Figure 10.10'!$F$8-C46</f>
        <v>0.7744680851063828</v>
      </c>
      <c r="F46" s="24"/>
      <c r="G46" s="24">
        <f>B46^(1-Calculations!$D$9)*C46^Calculations!$D$9</f>
        <v>1.0728223443917824</v>
      </c>
      <c r="H46" s="24">
        <f>D46^(1-Calculations!$D$10)*E46^Calculations!$D$10</f>
        <v>4.179383761766615</v>
      </c>
      <c r="Q46" s="24">
        <f>Q45+11*'Figure 10.10'!$F$8^Calculations!$D$9*'Figure 10.10'!$F$9^(1-Calculations!$D$9)/$C$32</f>
        <v>1.9784921419700963</v>
      </c>
      <c r="R46" s="24">
        <f>MIN($J$24^(1/(1-Calculations!$D$8))*Q46^(Calculations!$D$8/(Calculations!$D$8-1)),20)</f>
        <v>3.231824811729646</v>
      </c>
      <c r="S46" s="24"/>
      <c r="T46" s="24">
        <f>T45+11*'Figure 10.10'!$F$8^Calculations!$D$9*'Figure 10.10'!$F$9^(1-Calculations!$D$9)/$C$32</f>
        <v>1.9784921419700963</v>
      </c>
      <c r="U46" s="24">
        <f>MIN('Figure 10.10'!$F$17^(1/(1-Calculations!$D$8))*T46^(Calculations!$D$8/(Calculations!$D$8-1)),20)</f>
        <v>3.231824811729646</v>
      </c>
      <c r="W46" s="24"/>
      <c r="X46" s="24"/>
      <c r="Y46" s="24"/>
      <c r="Z46" s="24">
        <v>0</v>
      </c>
      <c r="AA46" s="24">
        <f>'Figure 10.10'!F12*N39+O39</f>
        <v>5.540024546182917</v>
      </c>
      <c r="AB46" s="24"/>
      <c r="AC46" s="24"/>
      <c r="AD46" s="24"/>
      <c r="AE46" s="24"/>
    </row>
    <row r="47" spans="2:31" ht="12.75">
      <c r="B47" s="24">
        <f>B46+'Figure 10.10'!$F$9/$C$32</f>
        <v>0.7000000000000002</v>
      </c>
      <c r="C47" s="24">
        <f>(Calculations!$D$9*(1-Calculations!$D$10)*'Figure 10.10'!$F$8*B47)/(Calculations!$D$10*(1-Calculations!$D$9)*'Figure 10.10'!$F$9+(Calculations!$D$9-Calculations!$D$10)*B47)</f>
        <v>1.2800000000000002</v>
      </c>
      <c r="D47" s="24">
        <f>'Figure 10.10'!$F$9-B47</f>
        <v>6.3</v>
      </c>
      <c r="E47" s="24">
        <f>'Figure 10.10'!$F$8-C47</f>
        <v>0.7199999999999998</v>
      </c>
      <c r="F47" s="24"/>
      <c r="G47" s="24">
        <f>B47^(1-Calculations!$D$9)*C47^Calculations!$D$9</f>
        <v>1.1344558101793563</v>
      </c>
      <c r="H47" s="24">
        <f>D47^(1-Calculations!$D$10)*E47^Calculations!$D$10</f>
        <v>4.082619812768029</v>
      </c>
      <c r="Q47" s="24">
        <f>Q46+11*'Figure 10.10'!$F$8^Calculations!$D$9*'Figure 10.10'!$F$9^(1-Calculations!$D$9)/$C$32</f>
        <v>2.261133876537253</v>
      </c>
      <c r="R47" s="24">
        <f>MIN($J$24^(1/(1-Calculations!$D$8))*Q47^(Calculations!$D$8/(Calculations!$D$8-1)),20)</f>
        <v>2.82784671026344</v>
      </c>
      <c r="S47" s="24"/>
      <c r="T47" s="24">
        <f>T46+11*'Figure 10.10'!$F$8^Calculations!$D$9*'Figure 10.10'!$F$9^(1-Calculations!$D$9)/$C$32</f>
        <v>2.261133876537253</v>
      </c>
      <c r="U47" s="24">
        <f>MIN('Figure 10.10'!$F$17^(1/(1-Calculations!$D$8))*T47^(Calculations!$D$8/(Calculations!$D$8-1)),20)</f>
        <v>2.82784671026344</v>
      </c>
      <c r="W47" s="24"/>
      <c r="X47" s="24"/>
      <c r="Y47" s="24"/>
      <c r="Z47" s="24">
        <f>('Figure 10.10'!F12*N39+O39)/'Figure 10.10'!F12</f>
        <v>4.616687121819098</v>
      </c>
      <c r="AA47" s="24">
        <v>0</v>
      </c>
      <c r="AB47" s="24"/>
      <c r="AC47" s="24"/>
      <c r="AD47" s="24"/>
      <c r="AE47" s="24"/>
    </row>
    <row r="48" spans="2:21" ht="12.75">
      <c r="B48" s="24">
        <f>B47+'Figure 10.10'!$F$9/$C$32</f>
        <v>0.7700000000000002</v>
      </c>
      <c r="C48" s="24">
        <f>(Calculations!$D$9*(1-Calculations!$D$10)*'Figure 10.10'!$F$8*B48)/(Calculations!$D$10*(1-Calculations!$D$9)*'Figure 10.10'!$F$9+(Calculations!$D$9-Calculations!$D$10)*B48)</f>
        <v>1.328301886792453</v>
      </c>
      <c r="D48" s="24">
        <f>'Figure 10.10'!$F$9-B48</f>
        <v>6.2299999999999995</v>
      </c>
      <c r="E48" s="24">
        <f>'Figure 10.10'!$F$8-C48</f>
        <v>0.671698113207547</v>
      </c>
      <c r="F48" s="24"/>
      <c r="G48" s="24">
        <f>B48^(1-Calculations!$D$9)*C48^Calculations!$D$9</f>
        <v>1.1910653120496668</v>
      </c>
      <c r="H48" s="24">
        <f>D48^(1-Calculations!$D$10)*E48^Calculations!$D$10</f>
        <v>3.9904811440012065</v>
      </c>
      <c r="Q48" s="24">
        <f>Q47+11*'Figure 10.10'!$F$8^Calculations!$D$9*'Figure 10.10'!$F$9^(1-Calculations!$D$9)/$C$32</f>
        <v>2.54377561110441</v>
      </c>
      <c r="R48" s="24">
        <f>MIN($J$24^(1/(1-Calculations!$D$8))*Q48^(Calculations!$D$8/(Calculations!$D$8-1)),20)</f>
        <v>2.513641520234169</v>
      </c>
      <c r="S48" s="24"/>
      <c r="T48" s="24">
        <f>T47+11*'Figure 10.10'!$F$8^Calculations!$D$9*'Figure 10.10'!$F$9^(1-Calculations!$D$9)/$C$32</f>
        <v>2.54377561110441</v>
      </c>
      <c r="U48" s="24">
        <f>MIN('Figure 10.10'!$F$17^(1/(1-Calculations!$D$8))*T48^(Calculations!$D$8/(Calculations!$D$8-1)),20)</f>
        <v>2.513641520234169</v>
      </c>
    </row>
    <row r="49" spans="2:21" ht="12.75">
      <c r="B49" s="24">
        <f>B48+'Figure 10.10'!$F$9/$C$32</f>
        <v>0.8400000000000003</v>
      </c>
      <c r="C49" s="24">
        <f>(Calculations!$D$9*(1-Calculations!$D$10)*'Figure 10.10'!$F$8*B49)/(Calculations!$D$10*(1-Calculations!$D$9)*'Figure 10.10'!$F$9+(Calculations!$D$9-Calculations!$D$10)*B49)</f>
        <v>1.3714285714285717</v>
      </c>
      <c r="D49" s="24">
        <f>'Figure 10.10'!$F$9-B49</f>
        <v>6.16</v>
      </c>
      <c r="E49" s="24">
        <f>'Figure 10.10'!$F$8-C49</f>
        <v>0.6285714285714283</v>
      </c>
      <c r="F49" s="24"/>
      <c r="G49" s="24">
        <f>B49^(1-Calculations!$D$9)*C49^Calculations!$D$9</f>
        <v>1.2433528999709378</v>
      </c>
      <c r="H49" s="24">
        <f>D49^(1-Calculations!$D$10)*E49^Calculations!$D$10</f>
        <v>3.9024333731966934</v>
      </c>
      <c r="Q49" s="24">
        <f>Q48+11*'Figure 10.10'!$F$8^Calculations!$D$9*'Figure 10.10'!$F$9^(1-Calculations!$D$9)/$C$32</f>
        <v>2.8264173456715667</v>
      </c>
      <c r="R49" s="24">
        <f>MIN($J$24^(1/(1-Calculations!$D$8))*Q49^(Calculations!$D$8/(Calculations!$D$8-1)),20)</f>
        <v>2.2622773682107518</v>
      </c>
      <c r="S49" s="24"/>
      <c r="T49" s="24">
        <f>T48+11*'Figure 10.10'!$F$8^Calculations!$D$9*'Figure 10.10'!$F$9^(1-Calculations!$D$9)/$C$32</f>
        <v>2.8264173456715667</v>
      </c>
      <c r="U49" s="24">
        <f>MIN('Figure 10.10'!$F$17^(1/(1-Calculations!$D$8))*T49^(Calculations!$D$8/(Calculations!$D$8-1)),20)</f>
        <v>2.2622773682107518</v>
      </c>
    </row>
    <row r="50" spans="2:21" ht="12.75">
      <c r="B50" s="24">
        <f>B49+'Figure 10.10'!$F$9/$C$32</f>
        <v>0.9100000000000004</v>
      </c>
      <c r="C50" s="24">
        <f>(Calculations!$D$9*(1-Calculations!$D$10)*'Figure 10.10'!$F$8*B50)/(Calculations!$D$10*(1-Calculations!$D$9)*'Figure 10.10'!$F$9+(Calculations!$D$9-Calculations!$D$10)*B50)</f>
        <v>1.4101694915254241</v>
      </c>
      <c r="D50" s="24">
        <f>'Figure 10.10'!$F$9-B50</f>
        <v>6.09</v>
      </c>
      <c r="E50" s="24">
        <f>'Figure 10.10'!$F$8-C50</f>
        <v>0.5898305084745759</v>
      </c>
      <c r="F50" s="24"/>
      <c r="G50" s="24">
        <f>B50^(1-Calculations!$D$9)*C50^Calculations!$D$9</f>
        <v>1.2918893861275291</v>
      </c>
      <c r="H50" s="24">
        <f>D50^(1-Calculations!$D$10)*E50^Calculations!$D$10</f>
        <v>3.8180295080952624</v>
      </c>
      <c r="Q50" s="24">
        <f>Q49+11*'Figure 10.10'!$F$8^Calculations!$D$9*'Figure 10.10'!$F$9^(1-Calculations!$D$9)/$C$32</f>
        <v>3.1090590802387235</v>
      </c>
      <c r="R50" s="24">
        <f>MIN($J$24^(1/(1-Calculations!$D$8))*Q50^(Calculations!$D$8/(Calculations!$D$8-1)),20)</f>
        <v>2.0566157892825014</v>
      </c>
      <c r="S50" s="24"/>
      <c r="T50" s="24">
        <f>T49+11*'Figure 10.10'!$F$8^Calculations!$D$9*'Figure 10.10'!$F$9^(1-Calculations!$D$9)/$C$32</f>
        <v>3.1090590802387235</v>
      </c>
      <c r="U50" s="24">
        <f>MIN('Figure 10.10'!$F$17^(1/(1-Calculations!$D$8))*T50^(Calculations!$D$8/(Calculations!$D$8-1)),20)</f>
        <v>2.0566157892825014</v>
      </c>
    </row>
    <row r="51" spans="2:21" ht="12.75">
      <c r="B51" s="24">
        <f>B50+'Figure 10.10'!$F$9/$C$32</f>
        <v>0.9800000000000004</v>
      </c>
      <c r="C51" s="24">
        <f>(Calculations!$D$9*(1-Calculations!$D$10)*'Figure 10.10'!$F$8*B51)/(Calculations!$D$10*(1-Calculations!$D$9)*'Figure 10.10'!$F$9+(Calculations!$D$9-Calculations!$D$10)*B51)</f>
        <v>1.445161290322581</v>
      </c>
      <c r="D51" s="24">
        <f>'Figure 10.10'!$F$9-B51</f>
        <v>6.02</v>
      </c>
      <c r="E51" s="24">
        <f>'Figure 10.10'!$F$8-C51</f>
        <v>0.554838709677419</v>
      </c>
      <c r="F51" s="24"/>
      <c r="G51" s="24">
        <f>B51^(1-Calculations!$D$9)*C51^Calculations!$D$9</f>
        <v>1.3371442812688772</v>
      </c>
      <c r="H51" s="24">
        <f>D51^(1-Calculations!$D$10)*E51^Calculations!$D$10</f>
        <v>3.7368919754300234</v>
      </c>
      <c r="Q51" s="24">
        <f>Q50+11*'Figure 10.10'!$F$8^Calculations!$D$9*'Figure 10.10'!$F$9^(1-Calculations!$D$9)/$C$32</f>
        <v>3.3917008148058803</v>
      </c>
      <c r="R51" s="24">
        <f>MIN($J$24^(1/(1-Calculations!$D$8))*Q51^(Calculations!$D$8/(Calculations!$D$8-1)),20)</f>
        <v>1.8852311401756263</v>
      </c>
      <c r="S51" s="24"/>
      <c r="T51" s="24">
        <f>T50+11*'Figure 10.10'!$F$8^Calculations!$D$9*'Figure 10.10'!$F$9^(1-Calculations!$D$9)/$C$32</f>
        <v>3.3917008148058803</v>
      </c>
      <c r="U51" s="24">
        <f>MIN('Figure 10.10'!$F$17^(1/(1-Calculations!$D$8))*T51^(Calculations!$D$8/(Calculations!$D$8-1)),20)</f>
        <v>1.8852311401756263</v>
      </c>
    </row>
    <row r="52" spans="2:21" ht="12.75">
      <c r="B52" s="24">
        <f>B51+'Figure 10.10'!$F$9/$C$32</f>
        <v>1.0500000000000005</v>
      </c>
      <c r="C52" s="24">
        <f>(Calculations!$D$9*(1-Calculations!$D$10)*'Figure 10.10'!$F$8*B52)/(Calculations!$D$10*(1-Calculations!$D$9)*'Figure 10.10'!$F$9+(Calculations!$D$9-Calculations!$D$10)*B52)</f>
        <v>1.4769230769230774</v>
      </c>
      <c r="D52" s="24">
        <f>'Figure 10.10'!$F$9-B52</f>
        <v>5.949999999999999</v>
      </c>
      <c r="E52" s="24">
        <f>'Figure 10.10'!$F$8-C52</f>
        <v>0.5230769230769226</v>
      </c>
      <c r="F52" s="24"/>
      <c r="G52" s="24">
        <f>B52^(1-Calculations!$D$9)*C52^Calculations!$D$9</f>
        <v>1.379507801669043</v>
      </c>
      <c r="H52" s="24">
        <f>D52^(1-Calculations!$D$10)*E52^Calculations!$D$10</f>
        <v>3.658699025062853</v>
      </c>
      <c r="Q52" s="24">
        <f>Q51+11*'Figure 10.10'!$F$8^Calculations!$D$9*'Figure 10.10'!$F$9^(1-Calculations!$D$9)/$C$32</f>
        <v>3.674342549373037</v>
      </c>
      <c r="R52" s="24">
        <f>MIN($J$24^(1/(1-Calculations!$D$8))*Q52^(Calculations!$D$8/(Calculations!$D$8-1)),20)</f>
        <v>1.7402133601621164</v>
      </c>
      <c r="S52" s="24"/>
      <c r="T52" s="24">
        <f>T51+11*'Figure 10.10'!$F$8^Calculations!$D$9*'Figure 10.10'!$F$9^(1-Calculations!$D$9)/$C$32</f>
        <v>3.674342549373037</v>
      </c>
      <c r="U52" s="24">
        <f>MIN('Figure 10.10'!$F$17^(1/(1-Calculations!$D$8))*T52^(Calculations!$D$8/(Calculations!$D$8-1)),20)</f>
        <v>1.7402133601621164</v>
      </c>
    </row>
    <row r="53" spans="2:21" ht="12.75">
      <c r="B53" s="24">
        <f>B52+'Figure 10.10'!$F$9/$C$32</f>
        <v>1.1200000000000006</v>
      </c>
      <c r="C53" s="24">
        <f>(Calculations!$D$9*(1-Calculations!$D$10)*'Figure 10.10'!$F$8*B53)/(Calculations!$D$10*(1-Calculations!$D$9)*'Figure 10.10'!$F$9+(Calculations!$D$9-Calculations!$D$10)*B53)</f>
        <v>1.5058823529411767</v>
      </c>
      <c r="D53" s="24">
        <f>'Figure 10.10'!$F$9-B53</f>
        <v>5.879999999999999</v>
      </c>
      <c r="E53" s="24">
        <f>'Figure 10.10'!$F$8-C53</f>
        <v>0.49411764705882333</v>
      </c>
      <c r="F53" s="24"/>
      <c r="G53" s="24">
        <f>B53^(1-Calculations!$D$9)*C53^Calculations!$D$9</f>
        <v>1.4193073103814575</v>
      </c>
      <c r="H53" s="24">
        <f>D53^(1-Calculations!$D$10)*E53^Calculations!$D$10</f>
        <v>3.583174294129716</v>
      </c>
      <c r="Q53" s="24">
        <f>Q52+11*'Figure 10.10'!$F$8^Calculations!$D$9*'Figure 10.10'!$F$9^(1-Calculations!$D$9)/$C$32</f>
        <v>3.956984283940194</v>
      </c>
      <c r="R53" s="24">
        <f>MIN($J$24^(1/(1-Calculations!$D$8))*Q53^(Calculations!$D$8/(Calculations!$D$8-1)),20)</f>
        <v>1.6159124058648224</v>
      </c>
      <c r="S53" s="24"/>
      <c r="T53" s="24">
        <f>T52+11*'Figure 10.10'!$F$8^Calculations!$D$9*'Figure 10.10'!$F$9^(1-Calculations!$D$9)/$C$32</f>
        <v>3.956984283940194</v>
      </c>
      <c r="U53" s="24">
        <f>MIN('Figure 10.10'!$F$17^(1/(1-Calculations!$D$8))*T53^(Calculations!$D$8/(Calculations!$D$8-1)),20)</f>
        <v>1.6159124058648224</v>
      </c>
    </row>
    <row r="54" spans="2:21" ht="12.75">
      <c r="B54" s="24">
        <f>B53+'Figure 10.10'!$F$9/$C$32</f>
        <v>1.1900000000000006</v>
      </c>
      <c r="C54" s="24">
        <f>(Calculations!$D$9*(1-Calculations!$D$10)*'Figure 10.10'!$F$8*B54)/(Calculations!$D$10*(1-Calculations!$D$9)*'Figure 10.10'!$F$9+(Calculations!$D$9-Calculations!$D$10)*B54)</f>
        <v>1.5323943661971835</v>
      </c>
      <c r="D54" s="24">
        <f>'Figure 10.10'!$F$9-B54</f>
        <v>5.81</v>
      </c>
      <c r="E54" s="24">
        <f>'Figure 10.10'!$F$8-C54</f>
        <v>0.4676056338028165</v>
      </c>
      <c r="F54" s="24"/>
      <c r="G54" s="24">
        <f>B54^(1-Calculations!$D$9)*C54^Calculations!$D$9</f>
        <v>1.4568197804158731</v>
      </c>
      <c r="H54" s="24">
        <f>D54^(1-Calculations!$D$10)*E54^Calculations!$D$10</f>
        <v>3.5100786915352584</v>
      </c>
      <c r="Q54" s="24">
        <f>Q53+11*'Figure 10.10'!$F$8^Calculations!$D$9*'Figure 10.10'!$F$9^(1-Calculations!$D$9)/$C$32</f>
        <v>4.239626018507351</v>
      </c>
      <c r="R54" s="24">
        <f>MIN($J$24^(1/(1-Calculations!$D$8))*Q54^(Calculations!$D$8/(Calculations!$D$8-1)),20)</f>
        <v>1.5081849121405009</v>
      </c>
      <c r="S54" s="24"/>
      <c r="T54" s="24">
        <f>T53+11*'Figure 10.10'!$F$8^Calculations!$D$9*'Figure 10.10'!$F$9^(1-Calculations!$D$9)/$C$32</f>
        <v>4.239626018507351</v>
      </c>
      <c r="U54" s="24">
        <f>MIN('Figure 10.10'!$F$17^(1/(1-Calculations!$D$8))*T54^(Calculations!$D$8/(Calculations!$D$8-1)),20)</f>
        <v>1.5081849121405009</v>
      </c>
    </row>
    <row r="55" spans="2:21" ht="12.75">
      <c r="B55" s="24">
        <f>B54+'Figure 10.10'!$F$9/$C$32</f>
        <v>1.2600000000000007</v>
      </c>
      <c r="C55" s="24">
        <f>(Calculations!$D$9*(1-Calculations!$D$10)*'Figure 10.10'!$F$8*B55)/(Calculations!$D$10*(1-Calculations!$D$9)*'Figure 10.10'!$F$9+(Calculations!$D$9-Calculations!$D$10)*B55)</f>
        <v>1.556756756756757</v>
      </c>
      <c r="D55" s="24">
        <f>'Figure 10.10'!$F$9-B55</f>
        <v>5.739999999999999</v>
      </c>
      <c r="E55" s="24">
        <f>'Figure 10.10'!$F$8-C55</f>
        <v>0.44324324324324293</v>
      </c>
      <c r="F55" s="24"/>
      <c r="G55" s="24">
        <f>B55^(1-Calculations!$D$9)*C55^Calculations!$D$9</f>
        <v>1.49228136768157</v>
      </c>
      <c r="H55" s="24">
        <f>D55^(1-Calculations!$D$10)*E55^Calculations!$D$10</f>
        <v>3.4392040118375</v>
      </c>
      <c r="Q55" s="24">
        <f>Q54+11*'Figure 10.10'!$F$8^Calculations!$D$9*'Figure 10.10'!$F$9^(1-Calculations!$D$9)/$C$32</f>
        <v>4.522267753074507</v>
      </c>
      <c r="R55" s="24">
        <f>MIN($J$24^(1/(1-Calculations!$D$8))*Q55^(Calculations!$D$8/(Calculations!$D$8-1)),20)</f>
        <v>1.4139233551317196</v>
      </c>
      <c r="S55" s="24"/>
      <c r="T55" s="24">
        <f>T54+11*'Figure 10.10'!$F$8^Calculations!$D$9*'Figure 10.10'!$F$9^(1-Calculations!$D$9)/$C$32</f>
        <v>4.522267753074507</v>
      </c>
      <c r="U55" s="24">
        <f>MIN('Figure 10.10'!$F$17^(1/(1-Calculations!$D$8))*T55^(Calculations!$D$8/(Calculations!$D$8-1)),20)</f>
        <v>1.4139233551317196</v>
      </c>
    </row>
    <row r="56" spans="2:21" ht="12.75">
      <c r="B56" s="24">
        <f>B55+'Figure 10.10'!$F$9/$C$32</f>
        <v>1.3300000000000007</v>
      </c>
      <c r="C56" s="24">
        <f>(Calculations!$D$9*(1-Calculations!$D$10)*'Figure 10.10'!$F$8*B56)/(Calculations!$D$10*(1-Calculations!$D$9)*'Figure 10.10'!$F$9+(Calculations!$D$9-Calculations!$D$10)*B56)</f>
        <v>1.5792207792207795</v>
      </c>
      <c r="D56" s="24">
        <f>'Figure 10.10'!$F$9-B56</f>
        <v>5.669999999999999</v>
      </c>
      <c r="E56" s="24">
        <f>'Figure 10.10'!$F$8-C56</f>
        <v>0.4207792207792205</v>
      </c>
      <c r="F56" s="24"/>
      <c r="G56" s="24">
        <f>B56^(1-Calculations!$D$9)*C56^Calculations!$D$9</f>
        <v>1.5258948526503646</v>
      </c>
      <c r="H56" s="24">
        <f>D56^(1-Calculations!$D$10)*E56^Calculations!$D$10</f>
        <v>3.370367855630553</v>
      </c>
      <c r="Q56" s="24">
        <f>Q55+11*'Figure 10.10'!$F$8^Calculations!$D$9*'Figure 10.10'!$F$9^(1-Calculations!$D$9)/$C$32</f>
        <v>4.804909487641663</v>
      </c>
      <c r="R56" s="24">
        <f>MIN($J$24^(1/(1-Calculations!$D$8))*Q56^(Calculations!$D$8/(Calculations!$D$8-1)),20)</f>
        <v>1.330751393065148</v>
      </c>
      <c r="S56" s="24"/>
      <c r="T56" s="24">
        <f>T55+11*'Figure 10.10'!$F$8^Calculations!$D$9*'Figure 10.10'!$F$9^(1-Calculations!$D$9)/$C$32</f>
        <v>4.804909487641663</v>
      </c>
      <c r="U56" s="24">
        <f>MIN('Figure 10.10'!$F$17^(1/(1-Calculations!$D$8))*T56^(Calculations!$D$8/(Calculations!$D$8-1)),20)</f>
        <v>1.330751393065148</v>
      </c>
    </row>
    <row r="57" spans="2:21" ht="12.75">
      <c r="B57" s="24">
        <f>B56+'Figure 10.10'!$F$9/$C$32</f>
        <v>1.4000000000000008</v>
      </c>
      <c r="C57" s="24">
        <f>(Calculations!$D$9*(1-Calculations!$D$10)*'Figure 10.10'!$F$8*B57)/(Calculations!$D$10*(1-Calculations!$D$9)*'Figure 10.10'!$F$9+(Calculations!$D$9-Calculations!$D$10)*B57)</f>
        <v>1.6000000000000005</v>
      </c>
      <c r="D57" s="24">
        <f>'Figure 10.10'!$F$9-B57</f>
        <v>5.6</v>
      </c>
      <c r="E57" s="24">
        <f>'Figure 10.10'!$F$8-C57</f>
        <v>0.39999999999999947</v>
      </c>
      <c r="F57" s="24"/>
      <c r="G57" s="24">
        <f>B57^(1-Calculations!$D$9)*C57^Calculations!$D$9</f>
        <v>1.5578354889842696</v>
      </c>
      <c r="H57" s="24">
        <f>D57^(1-Calculations!$D$10)*E57^Calculations!$D$10</f>
        <v>3.3034095491957824</v>
      </c>
      <c r="Q57" s="24">
        <f>Q56+11*'Figure 10.10'!$F$8^Calculations!$D$9*'Figure 10.10'!$F$9^(1-Calculations!$D$9)/$C$32</f>
        <v>5.08755122220882</v>
      </c>
      <c r="R57" s="24">
        <f>MIN($J$24^(1/(1-Calculations!$D$8))*Q57^(Calculations!$D$8/(Calculations!$D$8-1)),20)</f>
        <v>1.2568207601170844</v>
      </c>
      <c r="S57" s="24"/>
      <c r="T57" s="24">
        <f>T56+11*'Figure 10.10'!$F$8^Calculations!$D$9*'Figure 10.10'!$F$9^(1-Calculations!$D$9)/$C$32</f>
        <v>5.08755122220882</v>
      </c>
      <c r="U57" s="24">
        <f>MIN('Figure 10.10'!$F$17^(1/(1-Calculations!$D$8))*T57^(Calculations!$D$8/(Calculations!$D$8-1)),20)</f>
        <v>1.2568207601170844</v>
      </c>
    </row>
    <row r="58" spans="2:8" ht="12.75">
      <c r="B58" s="24">
        <f>B57+'Figure 10.10'!$F$9/$C$32</f>
        <v>1.4700000000000009</v>
      </c>
      <c r="C58" s="24">
        <f>(Calculations!$D$9*(1-Calculations!$D$10)*'Figure 10.10'!$F$8*B58)/(Calculations!$D$10*(1-Calculations!$D$9)*'Figure 10.10'!$F$9+(Calculations!$D$9-Calculations!$D$10)*B58)</f>
        <v>1.6192771084337354</v>
      </c>
      <c r="D58" s="24">
        <f>'Figure 10.10'!$F$9-B58</f>
        <v>5.529999999999999</v>
      </c>
      <c r="E58" s="24">
        <f>'Figure 10.10'!$F$8-C58</f>
        <v>0.3807228915662646</v>
      </c>
      <c r="F58" s="24"/>
      <c r="G58" s="24">
        <f>B58^(1-Calculations!$D$9)*C58^Calculations!$D$9</f>
        <v>1.588255646600249</v>
      </c>
      <c r="H58" s="24">
        <f>D58^(1-Calculations!$D$10)*E58^Calculations!$D$10</f>
        <v>3.238186837119815</v>
      </c>
    </row>
    <row r="59" spans="2:8" ht="12.75">
      <c r="B59" s="24">
        <f>B58+'Figure 10.10'!$F$9/$C$32</f>
        <v>1.540000000000001</v>
      </c>
      <c r="C59" s="24">
        <f>(Calculations!$D$9*(1-Calculations!$D$10)*'Figure 10.10'!$F$8*B59)/(Calculations!$D$10*(1-Calculations!$D$9)*'Figure 10.10'!$F$9+(Calculations!$D$9-Calculations!$D$10)*B59)</f>
        <v>1.6372093023255818</v>
      </c>
      <c r="D59" s="24">
        <f>'Figure 10.10'!$F$9-B59</f>
        <v>5.459999999999999</v>
      </c>
      <c r="E59" s="24">
        <f>'Figure 10.10'!$F$8-C59</f>
        <v>0.3627906976744182</v>
      </c>
      <c r="F59" s="24"/>
      <c r="G59" s="24">
        <f>B59^(1-Calculations!$D$9)*C59^Calculations!$D$9</f>
        <v>1.6172885319569736</v>
      </c>
      <c r="H59" s="24">
        <f>D59^(1-Calculations!$D$10)*E59^Calculations!$D$10</f>
        <v>3.174573179066573</v>
      </c>
    </row>
    <row r="60" spans="2:8" ht="12.75">
      <c r="B60" s="24">
        <f>B59+'Figure 10.10'!$F$9/$C$32</f>
        <v>1.610000000000001</v>
      </c>
      <c r="C60" s="24">
        <f>(Calculations!$D$9*(1-Calculations!$D$10)*'Figure 10.10'!$F$8*B60)/(Calculations!$D$10*(1-Calculations!$D$9)*'Figure 10.10'!$F$9+(Calculations!$D$9-Calculations!$D$10)*B60)</f>
        <v>1.6539325842696635</v>
      </c>
      <c r="D60" s="24">
        <f>'Figure 10.10'!$F$9-B60</f>
        <v>5.389999999999999</v>
      </c>
      <c r="E60" s="24">
        <f>'Figure 10.10'!$F$8-C60</f>
        <v>0.3460674157303365</v>
      </c>
      <c r="F60" s="24"/>
      <c r="G60" s="24">
        <f>B60^(1-Calculations!$D$9)*C60^Calculations!$D$9</f>
        <v>1.6450511945653241</v>
      </c>
      <c r="H60" s="24">
        <f>D60^(1-Calculations!$D$10)*E60^Calculations!$D$10</f>
        <v>3.1124555233008904</v>
      </c>
    </row>
    <row r="61" spans="2:8" ht="12.75">
      <c r="B61" s="24">
        <f>B60+'Figure 10.10'!$F$9/$C$32</f>
        <v>1.680000000000001</v>
      </c>
      <c r="C61" s="24">
        <f>(Calculations!$D$9*(1-Calculations!$D$10)*'Figure 10.10'!$F$8*B61)/(Calculations!$D$10*(1-Calculations!$D$9)*'Figure 10.10'!$F$9+(Calculations!$D$9-Calculations!$D$10)*B61)</f>
        <v>1.6695652173913047</v>
      </c>
      <c r="D61" s="24">
        <f>'Figure 10.10'!$F$9-B61</f>
        <v>5.3199999999999985</v>
      </c>
      <c r="E61" s="24">
        <f>'Figure 10.10'!$F$8-C61</f>
        <v>0.3304347826086953</v>
      </c>
      <c r="F61" s="24"/>
      <c r="G61" s="24">
        <f>B61^(1-Calculations!$D$9)*C61^Calculations!$D$9</f>
        <v>1.6716469760017636</v>
      </c>
      <c r="H61" s="24">
        <f>D61^(1-Calculations!$D$10)*E61^Calculations!$D$10</f>
        <v>3.0517324597745623</v>
      </c>
    </row>
    <row r="62" spans="2:8" ht="12.75">
      <c r="B62" s="24">
        <f>B61+'Figure 10.10'!$F$9/$C$32</f>
        <v>1.750000000000001</v>
      </c>
      <c r="C62" s="24">
        <f>(Calculations!$D$9*(1-Calculations!$D$10)*'Figure 10.10'!$F$8*B62)/(Calculations!$D$10*(1-Calculations!$D$9)*'Figure 10.10'!$F$9+(Calculations!$D$9-Calculations!$D$10)*B62)</f>
        <v>1.68421052631579</v>
      </c>
      <c r="D62" s="24">
        <f>'Figure 10.10'!$F$9-B62</f>
        <v>5.249999999999999</v>
      </c>
      <c r="E62" s="24">
        <f>'Figure 10.10'!$F$8-C62</f>
        <v>0.31578947368420995</v>
      </c>
      <c r="F62" s="24"/>
      <c r="G62" s="24">
        <f>B62^(1-Calculations!$D$9)*C62^Calculations!$D$9</f>
        <v>1.6971675195478484</v>
      </c>
      <c r="H62" s="24">
        <f>D62^(1-Calculations!$D$10)*E62^Calculations!$D$10</f>
        <v>2.992312677892297</v>
      </c>
    </row>
    <row r="63" spans="2:8" ht="12.75">
      <c r="B63" s="24">
        <f>B62+'Figure 10.10'!$F$9/$C$32</f>
        <v>1.8200000000000012</v>
      </c>
      <c r="C63" s="24">
        <f>(Calculations!$D$9*(1-Calculations!$D$10)*'Figure 10.10'!$F$8*B63)/(Calculations!$D$10*(1-Calculations!$D$9)*'Figure 10.10'!$F$9+(Calculations!$D$9-Calculations!$D$10)*B63)</f>
        <v>1.6979591836734695</v>
      </c>
      <c r="D63" s="24">
        <f>'Figure 10.10'!$F$9-B63</f>
        <v>5.179999999999999</v>
      </c>
      <c r="E63" s="24">
        <f>'Figure 10.10'!$F$8-C63</f>
        <v>0.30204081632653046</v>
      </c>
      <c r="F63" s="24"/>
      <c r="G63" s="24">
        <f>B63^(1-Calculations!$D$9)*C63^Calculations!$D$9</f>
        <v>1.7216944306378028</v>
      </c>
      <c r="H63" s="24">
        <f>D63^(1-Calculations!$D$10)*E63^Calculations!$D$10</f>
        <v>2.9341136707258646</v>
      </c>
    </row>
    <row r="64" spans="2:8" ht="12.75">
      <c r="B64" s="24">
        <f>B63+'Figure 10.10'!$F$9/$C$32</f>
        <v>1.8900000000000012</v>
      </c>
      <c r="C64" s="24">
        <f>(Calculations!$D$9*(1-Calculations!$D$10)*'Figure 10.10'!$F$8*B64)/(Calculations!$D$10*(1-Calculations!$D$9)*'Figure 10.10'!$F$9+(Calculations!$D$9-Calculations!$D$10)*B64)</f>
        <v>1.7108910891089113</v>
      </c>
      <c r="D64" s="24">
        <f>'Figure 10.10'!$F$9-B64</f>
        <v>5.1099999999999985</v>
      </c>
      <c r="E64" s="24">
        <f>'Figure 10.10'!$F$8-C64</f>
        <v>0.2891089108910887</v>
      </c>
      <c r="F64" s="24"/>
      <c r="G64" s="24">
        <f>B64^(1-Calculations!$D$9)*C64^Calculations!$D$9</f>
        <v>1.7453006576092904</v>
      </c>
      <c r="H64" s="24">
        <f>D64^(1-Calculations!$D$10)*E64^Calculations!$D$10</f>
        <v>2.8770606400014547</v>
      </c>
    </row>
    <row r="65" spans="2:8" ht="12.75">
      <c r="B65" s="24">
        <f>B64+'Figure 10.10'!$F$9/$C$32</f>
        <v>1.9600000000000013</v>
      </c>
      <c r="C65" s="24">
        <f>(Calculations!$D$9*(1-Calculations!$D$10)*'Figure 10.10'!$F$8*B65)/(Calculations!$D$10*(1-Calculations!$D$9)*'Figure 10.10'!$F$9+(Calculations!$D$9-Calculations!$D$10)*B65)</f>
        <v>1.7230769230769232</v>
      </c>
      <c r="D65" s="24">
        <f>'Figure 10.10'!$F$9-B65</f>
        <v>5.039999999999999</v>
      </c>
      <c r="E65" s="24">
        <f>'Figure 10.10'!$F$8-C65</f>
        <v>0.2769230769230768</v>
      </c>
      <c r="F65" s="24"/>
      <c r="G65" s="24">
        <f>B65^(1-Calculations!$D$9)*C65^Calculations!$D$9</f>
        <v>1.7680516467793337</v>
      </c>
      <c r="H65" s="24">
        <f>D65^(1-Calculations!$D$10)*E65^Calculations!$D$10</f>
        <v>2.821085565745066</v>
      </c>
    </row>
    <row r="66" spans="2:8" ht="12.75">
      <c r="B66" s="24">
        <f>B65+'Figure 10.10'!$F$9/$C$32</f>
        <v>2.030000000000001</v>
      </c>
      <c r="C66" s="24">
        <f>(Calculations!$D$9*(1-Calculations!$D$10)*'Figure 10.10'!$F$8*B66)/(Calculations!$D$10*(1-Calculations!$D$9)*'Figure 10.10'!$F$9+(Calculations!$D$9-Calculations!$D$10)*B66)</f>
        <v>1.7345794392523368</v>
      </c>
      <c r="D66" s="24">
        <f>'Figure 10.10'!$F$9-B66</f>
        <v>4.969999999999999</v>
      </c>
      <c r="E66" s="24">
        <f>'Figure 10.10'!$F$8-C66</f>
        <v>0.2654205607476632</v>
      </c>
      <c r="F66" s="24"/>
      <c r="G66" s="24">
        <f>B66^(1-Calculations!$D$9)*C66^Calculations!$D$9</f>
        <v>1.79000631418285</v>
      </c>
      <c r="H66" s="24">
        <f>D66^(1-Calculations!$D$10)*E66^Calculations!$D$10</f>
        <v>2.7661264118139286</v>
      </c>
    </row>
    <row r="67" spans="2:8" ht="12.75">
      <c r="B67" s="24">
        <f>B66+'Figure 10.10'!$F$9/$C$32</f>
        <v>2.100000000000001</v>
      </c>
      <c r="C67" s="24">
        <f>(Calculations!$D$9*(1-Calculations!$D$10)*'Figure 10.10'!$F$8*B67)/(Calculations!$D$10*(1-Calculations!$D$9)*'Figure 10.10'!$F$9+(Calculations!$D$9-Calculations!$D$10)*B67)</f>
        <v>1.7454545454545458</v>
      </c>
      <c r="D67" s="24">
        <f>'Figure 10.10'!$F$9-B67</f>
        <v>4.899999999999999</v>
      </c>
      <c r="E67" s="24">
        <f>'Figure 10.10'!$F$8-C67</f>
        <v>0.2545454545454542</v>
      </c>
      <c r="F67" s="24"/>
      <c r="G67" s="24">
        <f>B67^(1-Calculations!$D$9)*C67^Calculations!$D$9</f>
        <v>1.8112178674084876</v>
      </c>
      <c r="H67" s="24">
        <f>D67^(1-Calculations!$D$10)*E67^Calculations!$D$10</f>
        <v>2.712126444229791</v>
      </c>
    </row>
    <row r="68" spans="2:8" ht="12.75">
      <c r="B68" s="24">
        <f>B67+'Figure 10.10'!$F$9/$C$32</f>
        <v>2.170000000000001</v>
      </c>
      <c r="C68" s="24">
        <f>(Calculations!$D$9*(1-Calculations!$D$10)*'Figure 10.10'!$F$8*B68)/(Calculations!$D$10*(1-Calculations!$D$9)*'Figure 10.10'!$F$9+(Calculations!$D$9-Calculations!$D$10)*B68)</f>
        <v>1.7557522123893805</v>
      </c>
      <c r="D68" s="24">
        <f>'Figure 10.10'!$F$9-B68</f>
        <v>4.829999999999999</v>
      </c>
      <c r="E68" s="24">
        <f>'Figure 10.10'!$F$8-C68</f>
        <v>0.2442477876106195</v>
      </c>
      <c r="F68" s="24"/>
      <c r="G68" s="24">
        <f>B68^(1-Calculations!$D$9)*C68^Calculations!$D$9</f>
        <v>1.8317345041259883</v>
      </c>
      <c r="H68" s="24">
        <f>D68^(1-Calculations!$D$10)*E68^Calculations!$D$10</f>
        <v>2.659033643669962</v>
      </c>
    </row>
    <row r="69" spans="2:8" ht="12.75">
      <c r="B69" s="24">
        <f>B68+'Figure 10.10'!$F$9/$C$32</f>
        <v>2.2400000000000007</v>
      </c>
      <c r="C69" s="24">
        <f>(Calculations!$D$9*(1-Calculations!$D$10)*'Figure 10.10'!$F$8*B69)/(Calculations!$D$10*(1-Calculations!$D$9)*'Figure 10.10'!$F$9+(Calculations!$D$9-Calculations!$D$10)*B69)</f>
        <v>1.7655172413793105</v>
      </c>
      <c r="D69" s="24">
        <f>'Figure 10.10'!$F$9-B69</f>
        <v>4.76</v>
      </c>
      <c r="E69" s="24">
        <f>'Figure 10.10'!$F$8-C69</f>
        <v>0.23448275862068946</v>
      </c>
      <c r="F69" s="24"/>
      <c r="G69" s="24">
        <f>B69^(1-Calculations!$D$9)*C69^Calculations!$D$9</f>
        <v>1.8516000086017965</v>
      </c>
      <c r="H69" s="24">
        <f>D69^(1-Calculations!$D$10)*E69^Calculations!$D$10</f>
        <v>2.606800196963799</v>
      </c>
    </row>
    <row r="70" spans="2:8" ht="12.75">
      <c r="B70" s="24">
        <f>B69+'Figure 10.10'!$F$9/$C$32</f>
        <v>2.3100000000000005</v>
      </c>
      <c r="C70" s="24">
        <f>(Calculations!$D$9*(1-Calculations!$D$10)*'Figure 10.10'!$F$8*B70)/(Calculations!$D$10*(1-Calculations!$D$9)*'Figure 10.10'!$F$9+(Calculations!$D$9-Calculations!$D$10)*B70)</f>
        <v>1.7747899159663867</v>
      </c>
      <c r="D70" s="24">
        <f>'Figure 10.10'!$F$9-B70</f>
        <v>4.6899999999999995</v>
      </c>
      <c r="E70" s="24">
        <f>'Figure 10.10'!$F$8-C70</f>
        <v>0.2252100840336133</v>
      </c>
      <c r="F70" s="24"/>
      <c r="G70" s="24">
        <f>B70^(1-Calculations!$D$9)*C70^Calculations!$D$9</f>
        <v>1.8708542633664091</v>
      </c>
      <c r="H70" s="24">
        <f>D70^(1-Calculations!$D$10)*E70^Calculations!$D$10</f>
        <v>2.555382055207367</v>
      </c>
    </row>
    <row r="71" spans="2:8" ht="12.75">
      <c r="B71" s="24">
        <f>B70+'Figure 10.10'!$F$9/$C$32</f>
        <v>2.3800000000000003</v>
      </c>
      <c r="C71" s="24">
        <f>(Calculations!$D$9*(1-Calculations!$D$10)*'Figure 10.10'!$F$8*B71)/(Calculations!$D$10*(1-Calculations!$D$9)*'Figure 10.10'!$F$9+(Calculations!$D$9-Calculations!$D$10)*B71)</f>
        <v>1.7836065573770494</v>
      </c>
      <c r="D71" s="24">
        <f>'Figure 10.10'!$F$9-B71</f>
        <v>4.619999999999999</v>
      </c>
      <c r="E71" s="24">
        <f>'Figure 10.10'!$F$8-C71</f>
        <v>0.21639344262295057</v>
      </c>
      <c r="F71" s="24"/>
      <c r="G71" s="24">
        <f>B71^(1-Calculations!$D$9)*C71^Calculations!$D$9</f>
        <v>1.8895336899494795</v>
      </c>
      <c r="H71" s="24">
        <f>D71^(1-Calculations!$D$10)*E71^Calculations!$D$10</f>
        <v>2.5047385483128983</v>
      </c>
    </row>
    <row r="72" spans="2:8" ht="12.75">
      <c r="B72" s="24">
        <f>B71+'Figure 10.10'!$F$9/$C$32</f>
        <v>2.45</v>
      </c>
      <c r="C72" s="24">
        <f>(Calculations!$D$9*(1-Calculations!$D$10)*'Figure 10.10'!$F$8*B72)/(Calculations!$D$10*(1-Calculations!$D$9)*'Figure 10.10'!$F$9+(Calculations!$D$9-Calculations!$D$10)*B72)</f>
        <v>1.792</v>
      </c>
      <c r="D72" s="24">
        <f>'Figure 10.10'!$F$9-B72</f>
        <v>4.55</v>
      </c>
      <c r="E72" s="24">
        <f>'Figure 10.10'!$F$8-C72</f>
        <v>0.20799999999999996</v>
      </c>
      <c r="F72" s="24"/>
      <c r="G72" s="24">
        <f>B72^(1-Calculations!$D$9)*C72^Calculations!$D$9</f>
        <v>1.9076716300300747</v>
      </c>
      <c r="H72" s="24">
        <f>D72^(1-Calculations!$D$10)*E72^Calculations!$D$10</f>
        <v>2.454832047577331</v>
      </c>
    </row>
    <row r="73" spans="2:8" ht="12.75">
      <c r="B73" s="24">
        <f>B72+'Figure 10.10'!$F$9/$C$32</f>
        <v>2.52</v>
      </c>
      <c r="C73" s="24">
        <f>(Calculations!$D$9*(1-Calculations!$D$10)*'Figure 10.10'!$F$8*B73)/(Calculations!$D$10*(1-Calculations!$D$9)*'Figure 10.10'!$F$9+(Calculations!$D$9-Calculations!$D$10)*B73)</f>
        <v>1.8</v>
      </c>
      <c r="D73" s="24">
        <f>'Figure 10.10'!$F$9-B73</f>
        <v>4.48</v>
      </c>
      <c r="E73" s="24">
        <f>'Figure 10.10'!$F$8-C73</f>
        <v>0.19999999999999996</v>
      </c>
      <c r="F73" s="24"/>
      <c r="G73" s="24">
        <f>B73^(1-Calculations!$D$9)*C73^Calculations!$D$9</f>
        <v>1.925298676305124</v>
      </c>
      <c r="H73" s="24">
        <f>D73^(1-Calculations!$D$10)*E73^Calculations!$D$10</f>
        <v>2.405627669280146</v>
      </c>
    </row>
    <row r="74" spans="2:8" ht="12.75">
      <c r="B74" s="24">
        <f>B73+'Figure 10.10'!$F$9/$C$32</f>
        <v>2.59</v>
      </c>
      <c r="C74" s="24">
        <f>(Calculations!$D$9*(1-Calculations!$D$10)*'Figure 10.10'!$F$8*B74)/(Calculations!$D$10*(1-Calculations!$D$9)*'Figure 10.10'!$F$9+(Calculations!$D$9-Calculations!$D$10)*B74)</f>
        <v>1.8076335877862597</v>
      </c>
      <c r="D74" s="24">
        <f>'Figure 10.10'!$F$9-B74</f>
        <v>4.41</v>
      </c>
      <c r="E74" s="24">
        <f>'Figure 10.10'!$F$8-C74</f>
        <v>0.1923664122137403</v>
      </c>
      <c r="F74" s="24"/>
      <c r="G74" s="24">
        <f>B74^(1-Calculations!$D$9)*C74^Calculations!$D$9</f>
        <v>1.9424429607421774</v>
      </c>
      <c r="H74" s="24">
        <f>D74^(1-Calculations!$D$10)*E74^Calculations!$D$10</f>
        <v>2.357093013477564</v>
      </c>
    </row>
    <row r="75" spans="2:8" ht="12.75">
      <c r="B75" s="24">
        <f>B74+'Figure 10.10'!$F$9/$C$32</f>
        <v>2.6599999999999997</v>
      </c>
      <c r="C75" s="24">
        <f>(Calculations!$D$9*(1-Calculations!$D$10)*'Figure 10.10'!$F$8*B75)/(Calculations!$D$10*(1-Calculations!$D$9)*'Figure 10.10'!$F$9+(Calculations!$D$9-Calculations!$D$10)*B75)</f>
        <v>1.8149253731343284</v>
      </c>
      <c r="D75" s="24">
        <f>'Figure 10.10'!$F$9-B75</f>
        <v>4.34</v>
      </c>
      <c r="E75" s="24">
        <f>'Figure 10.10'!$F$8-C75</f>
        <v>0.18507462686567155</v>
      </c>
      <c r="F75" s="24"/>
      <c r="G75" s="24">
        <f>B75^(1-Calculations!$D$9)*C75^Calculations!$D$9</f>
        <v>1.959130406564574</v>
      </c>
      <c r="H75" s="24">
        <f>D75^(1-Calculations!$D$10)*E75^Calculations!$D$10</f>
        <v>2.3091979331034667</v>
      </c>
    </row>
    <row r="76" spans="2:8" ht="12.75">
      <c r="B76" s="24">
        <f>B75+'Figure 10.10'!$F$9/$C$32</f>
        <v>2.7299999999999995</v>
      </c>
      <c r="C76" s="24">
        <f>(Calculations!$D$9*(1-Calculations!$D$10)*'Figure 10.10'!$F$8*B76)/(Calculations!$D$10*(1-Calculations!$D$9)*'Figure 10.10'!$F$9+(Calculations!$D$9-Calculations!$D$10)*B76)</f>
        <v>1.8218978102189782</v>
      </c>
      <c r="D76" s="24">
        <f>'Figure 10.10'!$F$9-B76</f>
        <v>4.2700000000000005</v>
      </c>
      <c r="E76" s="24">
        <f>'Figure 10.10'!$F$8-C76</f>
        <v>0.17810218978102177</v>
      </c>
      <c r="F76" s="24"/>
      <c r="G76" s="24">
        <f>B76^(1-Calculations!$D$9)*C76^Calculations!$D$9</f>
        <v>1.9753849492500626</v>
      </c>
      <c r="H76" s="24">
        <f>D76^(1-Calculations!$D$10)*E76^Calculations!$D$10</f>
        <v>2.2619143292606796</v>
      </c>
    </row>
    <row r="77" spans="2:8" ht="12.75">
      <c r="B77" s="24">
        <f>B76+'Figure 10.10'!$F$9/$C$32</f>
        <v>2.7999999999999994</v>
      </c>
      <c r="C77" s="24">
        <f>(Calculations!$D$9*(1-Calculations!$D$10)*'Figure 10.10'!$F$8*B77)/(Calculations!$D$10*(1-Calculations!$D$9)*'Figure 10.10'!$F$9+(Calculations!$D$9-Calculations!$D$10)*B77)</f>
        <v>1.8285714285714287</v>
      </c>
      <c r="D77" s="24">
        <f>'Figure 10.10'!$F$9-B77</f>
        <v>4.200000000000001</v>
      </c>
      <c r="E77" s="24">
        <f>'Figure 10.10'!$F$8-C77</f>
        <v>0.17142857142857126</v>
      </c>
      <c r="F77" s="24"/>
      <c r="G77" s="24">
        <f>B77^(1-Calculations!$D$9)*C77^Calculations!$D$9</f>
        <v>1.9912287309556844</v>
      </c>
      <c r="H77" s="24">
        <f>D77^(1-Calculations!$D$10)*E77^Calculations!$D$10</f>
        <v>2.2152159692229665</v>
      </c>
    </row>
    <row r="78" spans="2:8" ht="12.75">
      <c r="B78" s="24">
        <f>B77+'Figure 10.10'!$F$9/$C$32</f>
        <v>2.869999999999999</v>
      </c>
      <c r="C78" s="24">
        <f>(Calculations!$D$9*(1-Calculations!$D$10)*'Figure 10.10'!$F$8*B78)/(Calculations!$D$10*(1-Calculations!$D$9)*'Figure 10.10'!$F$9+(Calculations!$D$9-Calculations!$D$10)*B78)</f>
        <v>1.8349650349650348</v>
      </c>
      <c r="D78" s="24">
        <f>'Figure 10.10'!$F$9-B78</f>
        <v>4.130000000000001</v>
      </c>
      <c r="E78" s="24">
        <f>'Figure 10.10'!$F$8-C78</f>
        <v>0.16503496503496518</v>
      </c>
      <c r="F78" s="24"/>
      <c r="G78" s="24">
        <f>B78^(1-Calculations!$D$9)*C78^Calculations!$D$9</f>
        <v>2.0066822720717585</v>
      </c>
      <c r="H78" s="24">
        <f>D78^(1-Calculations!$D$10)*E78^Calculations!$D$10</f>
        <v>2.1690783241948965</v>
      </c>
    </row>
    <row r="79" spans="2:8" ht="12.75">
      <c r="B79" s="24">
        <f>B78+'Figure 10.10'!$F$9/$C$32</f>
        <v>2.939999999999999</v>
      </c>
      <c r="C79" s="24">
        <f>(Calculations!$D$9*(1-Calculations!$D$10)*'Figure 10.10'!$F$8*B79)/(Calculations!$D$10*(1-Calculations!$D$9)*'Figure 10.10'!$F$9+(Calculations!$D$9-Calculations!$D$10)*B79)</f>
        <v>1.841095890410959</v>
      </c>
      <c r="D79" s="24">
        <f>'Figure 10.10'!$F$9-B79</f>
        <v>4.0600000000000005</v>
      </c>
      <c r="E79" s="24">
        <f>'Figure 10.10'!$F$8-C79</f>
        <v>0.1589041095890411</v>
      </c>
      <c r="F79" s="24"/>
      <c r="G79" s="24">
        <f>B79^(1-Calculations!$D$9)*C79^Calculations!$D$9</f>
        <v>2.0217646230246102</v>
      </c>
      <c r="H79" s="24">
        <f>D79^(1-Calculations!$D$10)*E79^Calculations!$D$10</f>
        <v>2.123478424314425</v>
      </c>
    </row>
    <row r="80" spans="2:8" ht="12.75">
      <c r="B80" s="24">
        <f>B79+'Figure 10.10'!$F$9/$C$32</f>
        <v>3.009999999999999</v>
      </c>
      <c r="C80" s="24">
        <f>(Calculations!$D$9*(1-Calculations!$D$10)*'Figure 10.10'!$F$8*B80)/(Calculations!$D$10*(1-Calculations!$D$9)*'Figure 10.10'!$F$9+(Calculations!$D$9-Calculations!$D$10)*B80)</f>
        <v>1.8469798657718124</v>
      </c>
      <c r="D80" s="24">
        <f>'Figure 10.10'!$F$9-B80</f>
        <v>3.990000000000001</v>
      </c>
      <c r="E80" s="24">
        <f>'Figure 10.10'!$F$8-C80</f>
        <v>0.1530201342281876</v>
      </c>
      <c r="F80" s="24"/>
      <c r="G80" s="24">
        <f>B80^(1-Calculations!$D$9)*C80^Calculations!$D$9</f>
        <v>2.0364934989663905</v>
      </c>
      <c r="H80" s="24">
        <f>D80^(1-Calculations!$D$10)*E80^Calculations!$D$10</f>
        <v>2.07839472874825</v>
      </c>
    </row>
    <row r="81" spans="2:8" ht="12.75">
      <c r="B81" s="24">
        <f>B80+'Figure 10.10'!$F$9/$C$32</f>
        <v>3.0799999999999987</v>
      </c>
      <c r="C81" s="24">
        <f>(Calculations!$D$9*(1-Calculations!$D$10)*'Figure 10.10'!$F$8*B81)/(Calculations!$D$10*(1-Calculations!$D$9)*'Figure 10.10'!$F$9+(Calculations!$D$9-Calculations!$D$10)*B81)</f>
        <v>1.8526315789473686</v>
      </c>
      <c r="D81" s="24">
        <f>'Figure 10.10'!$F$9-B81</f>
        <v>3.9200000000000013</v>
      </c>
      <c r="E81" s="24">
        <f>'Figure 10.10'!$F$8-C81</f>
        <v>0.14736842105263137</v>
      </c>
      <c r="F81" s="24"/>
      <c r="G81" s="24">
        <f>B81^(1-Calculations!$D$9)*C81^Calculations!$D$9</f>
        <v>2.0508853995915777</v>
      </c>
      <c r="H81" s="24">
        <f>D81^(1-Calculations!$D$10)*E81^Calculations!$D$10</f>
        <v>2.0338070090358826</v>
      </c>
    </row>
    <row r="82" spans="2:8" ht="12.75">
      <c r="B82" s="24">
        <f>B81+'Figure 10.10'!$F$9/$C$32</f>
        <v>3.1499999999999986</v>
      </c>
      <c r="C82" s="24">
        <f>(Calculations!$D$9*(1-Calculations!$D$10)*'Figure 10.10'!$F$8*B82)/(Calculations!$D$10*(1-Calculations!$D$9)*'Figure 10.10'!$F$9+(Calculations!$D$9-Calculations!$D$10)*B82)</f>
        <v>1.8580645161290323</v>
      </c>
      <c r="D82" s="24">
        <f>'Figure 10.10'!$F$9-B82</f>
        <v>3.8500000000000014</v>
      </c>
      <c r="E82" s="24">
        <f>'Figure 10.10'!$F$8-C82</f>
        <v>0.14193548387096766</v>
      </c>
      <c r="F82" s="24"/>
      <c r="G82" s="24">
        <f>B82^(1-Calculations!$D$9)*C82^Calculations!$D$9</f>
        <v>2.0649557159878977</v>
      </c>
      <c r="H82" s="24">
        <f>D82^(1-Calculations!$D$10)*E82^Calculations!$D$10</f>
        <v>1.9896962440956087</v>
      </c>
    </row>
    <row r="83" spans="2:8" ht="12.75">
      <c r="B83" s="24">
        <f>B82+'Figure 10.10'!$F$9/$C$32</f>
        <v>3.2199999999999984</v>
      </c>
      <c r="C83" s="24">
        <f>(Calculations!$D$9*(1-Calculations!$D$10)*'Figure 10.10'!$F$8*B83)/(Calculations!$D$10*(1-Calculations!$D$9)*'Figure 10.10'!$F$9+(Calculations!$D$9-Calculations!$D$10)*B83)</f>
        <v>1.8632911392405065</v>
      </c>
      <c r="D83" s="24">
        <f>'Figure 10.10'!$F$9-B83</f>
        <v>3.7800000000000016</v>
      </c>
      <c r="E83" s="24">
        <f>'Figure 10.10'!$F$8-C83</f>
        <v>0.1367088607594935</v>
      </c>
      <c r="F83" s="24"/>
      <c r="G83" s="24">
        <f>B83^(1-Calculations!$D$9)*C83^Calculations!$D$9</f>
        <v>2.07871882615225</v>
      </c>
      <c r="H83" s="24">
        <f>D83^(1-Calculations!$D$10)*E83^Calculations!$D$10</f>
        <v>1.9460445255226084</v>
      </c>
    </row>
    <row r="84" spans="2:8" ht="12.75">
      <c r="B84" s="24">
        <f>B83+'Figure 10.10'!$F$9/$C$32</f>
        <v>3.2899999999999983</v>
      </c>
      <c r="C84" s="24">
        <f>(Calculations!$D$9*(1-Calculations!$D$10)*'Figure 10.10'!$F$8*B84)/(Calculations!$D$10*(1-Calculations!$D$9)*'Figure 10.10'!$F$9+(Calculations!$D$9-Calculations!$D$10)*B84)</f>
        <v>1.86832298136646</v>
      </c>
      <c r="D84" s="24">
        <f>'Figure 10.10'!$F$9-B84</f>
        <v>3.7100000000000017</v>
      </c>
      <c r="E84" s="24">
        <f>'Figure 10.10'!$F$8-C84</f>
        <v>0.1316770186335401</v>
      </c>
      <c r="F84" s="24"/>
      <c r="G84" s="24">
        <f>B84^(1-Calculations!$D$9)*C84^Calculations!$D$9</f>
        <v>2.09218818056983</v>
      </c>
      <c r="H84" s="24">
        <f>D84^(1-Calculations!$D$10)*E84^Calculations!$D$10</f>
        <v>1.902834971993292</v>
      </c>
    </row>
    <row r="85" spans="2:8" ht="12.75">
      <c r="B85" s="24">
        <f>B84+'Figure 10.10'!$F$9/$C$32</f>
        <v>3.359999999999998</v>
      </c>
      <c r="C85" s="24">
        <f>(Calculations!$D$9*(1-Calculations!$D$10)*'Figure 10.10'!$F$8*B85)/(Calculations!$D$10*(1-Calculations!$D$9)*'Figure 10.10'!$F$9+(Calculations!$D$9-Calculations!$D$10)*B85)</f>
        <v>1.8731707317073174</v>
      </c>
      <c r="D85" s="24">
        <f>'Figure 10.10'!$F$9-B85</f>
        <v>3.640000000000002</v>
      </c>
      <c r="E85" s="24">
        <f>'Figure 10.10'!$F$8-C85</f>
        <v>0.1268292682926826</v>
      </c>
      <c r="F85" s="24"/>
      <c r="G85" s="24">
        <f>B85^(1-Calculations!$D$9)*C85^Calculations!$D$9</f>
        <v>2.105376379059109</v>
      </c>
      <c r="H85" s="24">
        <f>D85^(1-Calculations!$D$10)*E85^Calculations!$D$10</f>
        <v>1.860051651746154</v>
      </c>
    </row>
    <row r="86" spans="2:8" ht="12.75">
      <c r="B86" s="24">
        <f>B85+'Figure 10.10'!$F$9/$C$32</f>
        <v>3.429999999999998</v>
      </c>
      <c r="C86" s="24">
        <f>(Calculations!$D$9*(1-Calculations!$D$10)*'Figure 10.10'!$F$8*B86)/(Calculations!$D$10*(1-Calculations!$D$9)*'Figure 10.10'!$F$9+(Calculations!$D$9-Calculations!$D$10)*B86)</f>
        <v>1.8778443113772456</v>
      </c>
      <c r="D86" s="24">
        <f>'Figure 10.10'!$F$9-B86</f>
        <v>3.570000000000002</v>
      </c>
      <c r="E86" s="24">
        <f>'Figure 10.10'!$F$8-C86</f>
        <v>0.12215568862275439</v>
      </c>
      <c r="F86" s="24"/>
      <c r="G86" s="24">
        <f>B86^(1-Calculations!$D$9)*C86^Calculations!$D$9</f>
        <v>2.1182952399202364</v>
      </c>
      <c r="H86" s="24">
        <f>D86^(1-Calculations!$D$10)*E86^Calculations!$D$10</f>
        <v>1.8176795122425613</v>
      </c>
    </row>
    <row r="87" spans="2:8" ht="12.75">
      <c r="B87" s="24">
        <f>B86+'Figure 10.10'!$F$9/$C$32</f>
        <v>3.499999999999998</v>
      </c>
      <c r="C87" s="24">
        <f>(Calculations!$D$9*(1-Calculations!$D$10)*'Figure 10.10'!$F$8*B87)/(Calculations!$D$10*(1-Calculations!$D$9)*'Figure 10.10'!$F$9+(Calculations!$D$9-Calculations!$D$10)*B87)</f>
        <v>1.8823529411764708</v>
      </c>
      <c r="D87" s="24">
        <f>'Figure 10.10'!$F$9-B87</f>
        <v>3.500000000000002</v>
      </c>
      <c r="E87" s="24">
        <f>'Figure 10.10'!$F$8-C87</f>
        <v>0.11764705882352922</v>
      </c>
      <c r="F87" s="24"/>
      <c r="G87" s="24">
        <f>B87^(1-Calculations!$D$9)*C87^Calculations!$D$9</f>
        <v>2.1309558622845444</v>
      </c>
      <c r="H87" s="24">
        <f>D87^(1-Calculations!$D$10)*E87^Calculations!$D$10</f>
        <v>1.7757043162247852</v>
      </c>
    </row>
    <row r="88" spans="2:8" ht="12.75">
      <c r="B88" s="24">
        <f>B87+'Figure 10.10'!$F$9/$C$32</f>
        <v>3.5699999999999976</v>
      </c>
      <c r="C88" s="24">
        <f>(Calculations!$D$9*(1-Calculations!$D$10)*'Figure 10.10'!$F$8*B88)/(Calculations!$D$10*(1-Calculations!$D$9)*'Figure 10.10'!$F$9+(Calculations!$D$9-Calculations!$D$10)*B88)</f>
        <v>1.8867052023121387</v>
      </c>
      <c r="D88" s="24">
        <f>'Figure 10.10'!$F$9-B88</f>
        <v>3.4300000000000024</v>
      </c>
      <c r="E88" s="24">
        <f>'Figure 10.10'!$F$8-C88</f>
        <v>0.11329479768786133</v>
      </c>
      <c r="F88" s="24"/>
      <c r="G88" s="24">
        <f>B88^(1-Calculations!$D$9)*C88^Calculations!$D$9</f>
        <v>2.1433686824440112</v>
      </c>
      <c r="H88" s="24">
        <f>D88^(1-Calculations!$D$10)*E88^Calculations!$D$10</f>
        <v>1.7341125834862101</v>
      </c>
    </row>
    <row r="89" spans="2:8" ht="12.75">
      <c r="B89" s="24">
        <f>B88+'Figure 10.10'!$F$9/$C$32</f>
        <v>3.6399999999999975</v>
      </c>
      <c r="C89" s="24">
        <f>(Calculations!$D$9*(1-Calculations!$D$10)*'Figure 10.10'!$F$8*B89)/(Calculations!$D$10*(1-Calculations!$D$9)*'Figure 10.10'!$F$9+(Calculations!$D$9-Calculations!$D$10)*B89)</f>
        <v>1.8909090909090909</v>
      </c>
      <c r="D89" s="24">
        <f>'Figure 10.10'!$F$9-B89</f>
        <v>3.3600000000000025</v>
      </c>
      <c r="E89" s="24">
        <f>'Figure 10.10'!$F$8-C89</f>
        <v>0.10909090909090913</v>
      </c>
      <c r="F89" s="24"/>
      <c r="G89" s="24">
        <f>B89^(1-Calculations!$D$9)*C89^Calculations!$D$9</f>
        <v>2.155543524838183</v>
      </c>
      <c r="H89" s="24">
        <f>D89^(1-Calculations!$D$10)*E89^Calculations!$D$10</f>
        <v>1.6928915377526306</v>
      </c>
    </row>
    <row r="90" spans="2:8" ht="12.75">
      <c r="B90" s="24">
        <f>B89+'Figure 10.10'!$F$9/$C$32</f>
        <v>3.7099999999999973</v>
      </c>
      <c r="C90" s="24">
        <f>(Calculations!$D$9*(1-Calculations!$D$10)*'Figure 10.10'!$F$8*B90)/(Calculations!$D$10*(1-Calculations!$D$9)*'Figure 10.10'!$F$9+(Calculations!$D$9-Calculations!$D$10)*B90)</f>
        <v>1.8949720670391064</v>
      </c>
      <c r="D90" s="24">
        <f>'Figure 10.10'!$F$9-B90</f>
        <v>3.2900000000000027</v>
      </c>
      <c r="E90" s="24">
        <f>'Figure 10.10'!$F$8-C90</f>
        <v>0.10502793296089363</v>
      </c>
      <c r="F90" s="24"/>
      <c r="G90" s="24">
        <f>B90^(1-Calculations!$D$9)*C90^Calculations!$D$9</f>
        <v>2.167489648289437</v>
      </c>
      <c r="H90" s="24">
        <f>D90^(1-Calculations!$D$10)*E90^Calculations!$D$10</f>
        <v>1.6520290581460153</v>
      </c>
    </row>
    <row r="91" spans="2:8" ht="12.75">
      <c r="B91" s="24">
        <f>B90+'Figure 10.10'!$F$9/$C$32</f>
        <v>3.779999999999997</v>
      </c>
      <c r="C91" s="24">
        <f>(Calculations!$D$9*(1-Calculations!$D$10)*'Figure 10.10'!$F$8*B91)/(Calculations!$D$10*(1-Calculations!$D$9)*'Figure 10.10'!$F$9+(Calculations!$D$9-Calculations!$D$10)*B91)</f>
        <v>1.8989010989010993</v>
      </c>
      <c r="D91" s="24">
        <f>'Figure 10.10'!$F$9-B91</f>
        <v>3.220000000000003</v>
      </c>
      <c r="E91" s="24">
        <f>'Figure 10.10'!$F$8-C91</f>
        <v>0.10109890109890074</v>
      </c>
      <c r="F91" s="24"/>
      <c r="G91" s="24">
        <f>B91^(1-Calculations!$D$9)*C91^Calculations!$D$9</f>
        <v>2.1792157880032073</v>
      </c>
      <c r="H91" s="24">
        <f>D91^(1-Calculations!$D$10)*E91^Calculations!$D$10</f>
        <v>1.6115136347647163</v>
      </c>
    </row>
    <row r="92" spans="2:8" ht="12.75">
      <c r="B92" s="24">
        <f>B91+'Figure 10.10'!$F$9/$C$32</f>
        <v>3.849999999999997</v>
      </c>
      <c r="C92" s="24">
        <f>(Calculations!$D$9*(1-Calculations!$D$10)*'Figure 10.10'!$F$8*B92)/(Calculations!$D$10*(1-Calculations!$D$9)*'Figure 10.10'!$F$9+(Calculations!$D$9-Calculations!$D$10)*B92)</f>
        <v>1.9027027027027028</v>
      </c>
      <c r="D92" s="24">
        <f>'Figure 10.10'!$F$9-B92</f>
        <v>3.150000000000003</v>
      </c>
      <c r="E92" s="24">
        <f>'Figure 10.10'!$F$8-C92</f>
        <v>0.09729729729729719</v>
      </c>
      <c r="F92" s="24"/>
      <c r="G92" s="24">
        <f>B92^(1-Calculations!$D$9)*C92^Calculations!$D$9</f>
        <v>2.190730193785908</v>
      </c>
      <c r="H92" s="24">
        <f>D92^(1-Calculations!$D$10)*E92^Calculations!$D$10</f>
        <v>1.571334327968434</v>
      </c>
    </row>
    <row r="93" spans="2:8" ht="12.75">
      <c r="B93" s="24">
        <f>B92+'Figure 10.10'!$F$9/$C$32</f>
        <v>3.919999999999997</v>
      </c>
      <c r="C93" s="24">
        <f>(Calculations!$D$9*(1-Calculations!$D$10)*'Figure 10.10'!$F$8*B93)/(Calculations!$D$10*(1-Calculations!$D$9)*'Figure 10.10'!$F$9+(Calculations!$D$9-Calculations!$D$10)*B93)</f>
        <v>1.9063829787234043</v>
      </c>
      <c r="D93" s="24">
        <f>'Figure 10.10'!$F$9-B93</f>
        <v>3.080000000000003</v>
      </c>
      <c r="E93" s="24">
        <f>'Figure 10.10'!$F$8-C93</f>
        <v>0.09361702127659566</v>
      </c>
      <c r="F93" s="24"/>
      <c r="G93" s="24">
        <f>B93^(1-Calculations!$D$9)*C93^Calculations!$D$9</f>
        <v>2.2020406648782562</v>
      </c>
      <c r="H93" s="24">
        <f>D93^(1-Calculations!$D$10)*E93^Calculations!$D$10</f>
        <v>1.5314807310034353</v>
      </c>
    </row>
    <row r="94" spans="2:8" ht="12.75">
      <c r="B94" s="24">
        <f>B93+'Figure 10.10'!$F$9/$C$32</f>
        <v>3.9899999999999967</v>
      </c>
      <c r="C94" s="24">
        <f>(Calculations!$D$9*(1-Calculations!$D$10)*'Figure 10.10'!$F$8*B94)/(Calculations!$D$10*(1-Calculations!$D$9)*'Figure 10.10'!$F$9+(Calculations!$D$9-Calculations!$D$10)*B94)</f>
        <v>1.909947643979058</v>
      </c>
      <c r="D94" s="24">
        <f>'Figure 10.10'!$F$9-B94</f>
        <v>3.0100000000000033</v>
      </c>
      <c r="E94" s="24">
        <f>'Figure 10.10'!$F$8-C94</f>
        <v>0.09005235602094208</v>
      </c>
      <c r="F94" s="24"/>
      <c r="G94" s="24">
        <f>B94^(1-Calculations!$D$9)*C94^Calculations!$D$9</f>
        <v>2.213154581754105</v>
      </c>
      <c r="H94" s="24">
        <f>D94^(1-Calculations!$D$10)*E94^Calculations!$D$10</f>
        <v>1.4919429356446627</v>
      </c>
    </row>
    <row r="95" spans="2:8" ht="12.75">
      <c r="B95" s="24">
        <f>B94+'Figure 10.10'!$F$9/$C$32</f>
        <v>4.059999999999997</v>
      </c>
      <c r="C95" s="24">
        <f>(Calculations!$D$9*(1-Calculations!$D$10)*'Figure 10.10'!$F$8*B95)/(Calculations!$D$10*(1-Calculations!$D$9)*'Figure 10.10'!$F$9+(Calculations!$D$9-Calculations!$D$10)*B95)</f>
        <v>1.9134020618556702</v>
      </c>
      <c r="D95" s="24">
        <f>'Figure 10.10'!$F$9-B95</f>
        <v>2.940000000000003</v>
      </c>
      <c r="E95" s="24">
        <f>'Figure 10.10'!$F$8-C95</f>
        <v>0.08659793814432981</v>
      </c>
      <c r="F95" s="24"/>
      <c r="G95" s="24">
        <f>B95^(1-Calculations!$D$9)*C95^Calculations!$D$9</f>
        <v>2.2240789351936945</v>
      </c>
      <c r="H95" s="24">
        <f>D95^(1-Calculations!$D$10)*E95^Calculations!$D$10</f>
        <v>1.452711500567262</v>
      </c>
    </row>
    <row r="96" spans="2:8" ht="12.75">
      <c r="B96" s="24">
        <f>B95+'Figure 10.10'!$F$9/$C$32</f>
        <v>4.129999999999997</v>
      </c>
      <c r="C96" s="24">
        <f>(Calculations!$D$9*(1-Calculations!$D$10)*'Figure 10.10'!$F$8*B96)/(Calculations!$D$10*(1-Calculations!$D$9)*'Figure 10.10'!$F$9+(Calculations!$D$9-Calculations!$D$10)*B96)</f>
        <v>1.916751269035533</v>
      </c>
      <c r="D96" s="24">
        <f>'Figure 10.10'!$F$9-B96</f>
        <v>2.8700000000000028</v>
      </c>
      <c r="E96" s="24">
        <f>'Figure 10.10'!$F$8-C96</f>
        <v>0.08324873096446694</v>
      </c>
      <c r="F96" s="24"/>
      <c r="G96" s="24">
        <f>B96^(1-Calculations!$D$9)*C96^Calculations!$D$9</f>
        <v>2.2348203529043973</v>
      </c>
      <c r="H96" s="24">
        <f>D96^(1-Calculations!$D$10)*E96^Calculations!$D$10</f>
        <v>1.413777422191475</v>
      </c>
    </row>
    <row r="97" spans="2:8" ht="12.75">
      <c r="B97" s="24">
        <f>B96+'Figure 10.10'!$F$9/$C$32</f>
        <v>4.1999999999999975</v>
      </c>
      <c r="C97" s="24">
        <f>(Calculations!$D$9*(1-Calculations!$D$10)*'Figure 10.10'!$F$8*B97)/(Calculations!$D$10*(1-Calculations!$D$9)*'Figure 10.10'!$F$9+(Calculations!$D$9-Calculations!$D$10)*B97)</f>
        <v>1.9200000000000002</v>
      </c>
      <c r="D97" s="24">
        <f>'Figure 10.10'!$F$9-B97</f>
        <v>2.8000000000000025</v>
      </c>
      <c r="E97" s="24">
        <f>'Figure 10.10'!$F$8-C97</f>
        <v>0.07999999999999985</v>
      </c>
      <c r="F97" s="24"/>
      <c r="G97" s="24">
        <f>B97^(1-Calculations!$D$9)*C97^Calculations!$D$9</f>
        <v>2.2453851239308995</v>
      </c>
      <c r="H97" s="24">
        <f>D97^(1-Calculations!$D$10)*E97^Calculations!$D$10</f>
        <v>1.3751321077724634</v>
      </c>
    </row>
    <row r="98" spans="2:8" ht="12.75">
      <c r="B98" s="24">
        <f>B97+'Figure 10.10'!$F$9/$C$32</f>
        <v>4.269999999999998</v>
      </c>
      <c r="C98" s="24">
        <f>(Calculations!$D$9*(1-Calculations!$D$10)*'Figure 10.10'!$F$8*B98)/(Calculations!$D$10*(1-Calculations!$D$9)*'Figure 10.10'!$F$9+(Calculations!$D$9-Calculations!$D$10)*B98)</f>
        <v>1.9231527093596061</v>
      </c>
      <c r="D98" s="24">
        <f>'Figure 10.10'!$F$9-B98</f>
        <v>2.730000000000002</v>
      </c>
      <c r="E98" s="24">
        <f>'Figure 10.10'!$F$8-C98</f>
        <v>0.07684729064039386</v>
      </c>
      <c r="F98" s="24"/>
      <c r="G98" s="24">
        <f>B98^(1-Calculations!$D$9)*C98^Calculations!$D$9</f>
        <v>2.2557792210695413</v>
      </c>
      <c r="H98" s="24">
        <f>D98^(1-Calculations!$D$10)*E98^Calculations!$D$10</f>
        <v>1.336767350530784</v>
      </c>
    </row>
    <row r="99" spans="2:8" ht="12.75">
      <c r="B99" s="24">
        <f>B98+'Figure 10.10'!$F$9/$C$32</f>
        <v>4.339999999999998</v>
      </c>
      <c r="C99" s="24">
        <f>(Calculations!$D$9*(1-Calculations!$D$10)*'Figure 10.10'!$F$8*B99)/(Calculations!$D$10*(1-Calculations!$D$9)*'Figure 10.10'!$F$9+(Calculations!$D$9-Calculations!$D$10)*B99)</f>
        <v>1.9262135922330097</v>
      </c>
      <c r="D99" s="24">
        <f>'Figure 10.10'!$F$9-B99</f>
        <v>2.660000000000002</v>
      </c>
      <c r="E99" s="24">
        <f>'Figure 10.10'!$F$8-C99</f>
        <v>0.0737864077669903</v>
      </c>
      <c r="F99" s="24"/>
      <c r="G99" s="24">
        <f>B99^(1-Calculations!$D$9)*C99^Calculations!$D$9</f>
        <v>2.2660083214778</v>
      </c>
      <c r="H99" s="24">
        <f>D99^(1-Calculations!$D$10)*E99^Calculations!$D$10</f>
        <v>1.298675306640636</v>
      </c>
    </row>
    <row r="100" spans="2:8" ht="12.75">
      <c r="B100" s="24">
        <f>B99+'Figure 10.10'!$F$9/$C$32</f>
        <v>4.409999999999998</v>
      </c>
      <c r="C100" s="24">
        <f>(Calculations!$D$9*(1-Calculations!$D$10)*'Figure 10.10'!$F$8*B100)/(Calculations!$D$10*(1-Calculations!$D$9)*'Figure 10.10'!$F$9+(Calculations!$D$9-Calculations!$D$10)*B100)</f>
        <v>1.9291866028708136</v>
      </c>
      <c r="D100" s="24">
        <f>'Figure 10.10'!$F$9-B100</f>
        <v>2.5900000000000016</v>
      </c>
      <c r="E100" s="24">
        <f>'Figure 10.10'!$F$8-C100</f>
        <v>0.07081339712918644</v>
      </c>
      <c r="F100" s="24"/>
      <c r="G100" s="24">
        <f>B100^(1-Calculations!$D$9)*C100^Calculations!$D$9</f>
        <v>2.276077825649032</v>
      </c>
      <c r="H100" s="24">
        <f>D100^(1-Calculations!$D$10)*E100^Calculations!$D$10</f>
        <v>1.2608484739117813</v>
      </c>
    </row>
    <row r="101" spans="2:8" ht="12.75">
      <c r="B101" s="24">
        <f>B100+'Figure 10.10'!$F$9/$C$32</f>
        <v>4.479999999999999</v>
      </c>
      <c r="C101" s="24">
        <f>(Calculations!$D$9*(1-Calculations!$D$10)*'Figure 10.10'!$F$8*B101)/(Calculations!$D$10*(1-Calculations!$D$9)*'Figure 10.10'!$F$9+(Calculations!$D$9-Calculations!$D$10)*B101)</f>
        <v>1.9320754716981132</v>
      </c>
      <c r="D101" s="24">
        <f>'Figure 10.10'!$F$9-B101</f>
        <v>2.5200000000000014</v>
      </c>
      <c r="E101" s="24">
        <f>'Figure 10.10'!$F$8-C101</f>
        <v>0.06792452830188678</v>
      </c>
      <c r="F101" s="24"/>
      <c r="G101" s="24">
        <f>B101^(1-Calculations!$D$9)*C101^Calculations!$D$9</f>
        <v>2.2859928749043212</v>
      </c>
      <c r="H101" s="24">
        <f>D101^(1-Calculations!$D$10)*E101^Calculations!$D$10</f>
        <v>1.2232796720177523</v>
      </c>
    </row>
    <row r="102" spans="2:8" ht="12.75">
      <c r="B102" s="24">
        <f>B101+'Figure 10.10'!$F$9/$C$32</f>
        <v>4.549999999999999</v>
      </c>
      <c r="C102" s="24">
        <f>(Calculations!$D$9*(1-Calculations!$D$10)*'Figure 10.10'!$F$8*B102)/(Calculations!$D$10*(1-Calculations!$D$9)*'Figure 10.10'!$F$9+(Calculations!$D$9-Calculations!$D$10)*B102)</f>
        <v>1.9348837209302328</v>
      </c>
      <c r="D102" s="24">
        <f>'Figure 10.10'!$F$9-B102</f>
        <v>2.450000000000001</v>
      </c>
      <c r="E102" s="24">
        <f>'Figure 10.10'!$F$8-C102</f>
        <v>0.06511627906976725</v>
      </c>
      <c r="F102" s="24"/>
      <c r="G102" s="24">
        <f>B102^(1-Calculations!$D$9)*C102^Calculations!$D$9</f>
        <v>2.295758367537203</v>
      </c>
      <c r="H102" s="24">
        <f>D102^(1-Calculations!$D$10)*E102^Calculations!$D$10</f>
        <v>1.1859620241376192</v>
      </c>
    </row>
    <row r="103" spans="2:8" ht="12.75">
      <c r="B103" s="24">
        <f>B102+'Figure 10.10'!$F$9/$C$32</f>
        <v>4.619999999999999</v>
      </c>
      <c r="C103" s="24">
        <f>(Calculations!$D$9*(1-Calculations!$D$10)*'Figure 10.10'!$F$8*B103)/(Calculations!$D$10*(1-Calculations!$D$9)*'Figure 10.10'!$F$9+(Calculations!$D$9-Calculations!$D$10)*B103)</f>
        <v>1.9376146788990827</v>
      </c>
      <c r="D103" s="24">
        <f>'Figure 10.10'!$F$9-B103</f>
        <v>2.380000000000001</v>
      </c>
      <c r="E103" s="24">
        <f>'Figure 10.10'!$F$8-C103</f>
        <v>0.062385321100917324</v>
      </c>
      <c r="F103" s="24"/>
      <c r="G103" s="24">
        <f>B103^(1-Calculations!$D$9)*C103^Calculations!$D$9</f>
        <v>2.3053789737328194</v>
      </c>
      <c r="H103" s="24">
        <f>D103^(1-Calculations!$D$10)*E103^Calculations!$D$10</f>
        <v>1.1488889398917745</v>
      </c>
    </row>
    <row r="104" spans="2:8" ht="12.75">
      <c r="B104" s="24">
        <f>B103+'Figure 10.10'!$F$9/$C$32</f>
        <v>4.6899999999999995</v>
      </c>
      <c r="C104" s="24">
        <f>(Calculations!$D$9*(1-Calculations!$D$10)*'Figure 10.10'!$F$8*B104)/(Calculations!$D$10*(1-Calculations!$D$9)*'Figure 10.10'!$F$9+(Calculations!$D$9-Calculations!$D$10)*B104)</f>
        <v>1.94027149321267</v>
      </c>
      <c r="D104" s="24">
        <f>'Figure 10.10'!$F$9-B104</f>
        <v>2.3100000000000005</v>
      </c>
      <c r="E104" s="24">
        <f>'Figure 10.10'!$F$8-C104</f>
        <v>0.059728506787330105</v>
      </c>
      <c r="F104" s="24"/>
      <c r="G104" s="24">
        <f>B104^(1-Calculations!$D$9)*C104^Calculations!$D$9</f>
        <v>2.3148591493705784</v>
      </c>
      <c r="H104" s="24">
        <f>D104^(1-Calculations!$D$10)*E104^Calculations!$D$10</f>
        <v>1.1120540994637382</v>
      </c>
    </row>
    <row r="105" spans="2:8" ht="12.75">
      <c r="B105" s="24">
        <f>B104+'Figure 10.10'!$F$9/$C$32</f>
        <v>4.76</v>
      </c>
      <c r="C105" s="24">
        <f>(Calculations!$D$9*(1-Calculations!$D$10)*'Figure 10.10'!$F$8*B105)/(Calculations!$D$10*(1-Calculations!$D$9)*'Figure 10.10'!$F$9+(Calculations!$D$9-Calculations!$D$10)*B105)</f>
        <v>1.9428571428571433</v>
      </c>
      <c r="D105" s="24">
        <f>'Figure 10.10'!$F$9-B105</f>
        <v>2.24</v>
      </c>
      <c r="E105" s="24">
        <f>'Figure 10.10'!$F$8-C105</f>
        <v>0.05714285714285672</v>
      </c>
      <c r="F105" s="24"/>
      <c r="G105" s="24">
        <f>B105^(1-Calculations!$D$9)*C105^Calculations!$D$9</f>
        <v>2.3242031488082677</v>
      </c>
      <c r="H105" s="24">
        <f>D105^(1-Calculations!$D$10)*E105^Calculations!$D$10</f>
        <v>1.0754514388104135</v>
      </c>
    </row>
    <row r="106" spans="2:8" ht="12.75">
      <c r="B106" s="24">
        <f>B105+'Figure 10.10'!$F$9/$C$32</f>
        <v>4.83</v>
      </c>
      <c r="C106" s="24">
        <f>(Calculations!$D$9*(1-Calculations!$D$10)*'Figure 10.10'!$F$8*B106)/(Calculations!$D$10*(1-Calculations!$D$9)*'Figure 10.10'!$F$9+(Calculations!$D$9-Calculations!$D$10)*B106)</f>
        <v>1.9453744493392071</v>
      </c>
      <c r="D106" s="24">
        <f>'Figure 10.10'!$F$9-B106</f>
        <v>2.17</v>
      </c>
      <c r="E106" s="24">
        <f>'Figure 10.10'!$F$8-C106</f>
        <v>0.05462555066079289</v>
      </c>
      <c r="F106" s="24"/>
      <c r="G106" s="24">
        <f>B106^(1-Calculations!$D$9)*C106^Calculations!$D$9</f>
        <v>2.3334150367358033</v>
      </c>
      <c r="H106" s="24">
        <f>D106^(1-Calculations!$D$10)*E106^Calculations!$D$10</f>
        <v>1.0390751358724153</v>
      </c>
    </row>
    <row r="107" spans="2:8" ht="12.75">
      <c r="B107" s="24">
        <f>B106+'Figure 10.10'!$F$9/$C$32</f>
        <v>4.9</v>
      </c>
      <c r="C107" s="24">
        <f>(Calculations!$D$9*(1-Calculations!$D$10)*'Figure 10.10'!$F$8*B107)/(Calculations!$D$10*(1-Calculations!$D$9)*'Figure 10.10'!$F$9+(Calculations!$D$9-Calculations!$D$10)*B107)</f>
        <v>1.947826086956522</v>
      </c>
      <c r="D107" s="24">
        <f>'Figure 10.10'!$F$9-B107</f>
        <v>2.0999999999999996</v>
      </c>
      <c r="E107" s="24">
        <f>'Figure 10.10'!$F$8-C107</f>
        <v>0.05217391304347796</v>
      </c>
      <c r="F107" s="24"/>
      <c r="G107" s="24">
        <f>B107^(1-Calculations!$D$9)*C107^Calculations!$D$9</f>
        <v>2.3424986991780377</v>
      </c>
      <c r="H107" s="24">
        <f>D107^(1-Calculations!$D$10)*E107^Calculations!$D$10</f>
        <v>1.0029195977043621</v>
      </c>
    </row>
    <row r="108" spans="2:8" ht="12.75">
      <c r="B108" s="24">
        <f>B107+'Figure 10.10'!$F$9/$C$32</f>
        <v>4.970000000000001</v>
      </c>
      <c r="C108" s="24">
        <f>(Calculations!$D$9*(1-Calculations!$D$10)*'Figure 10.10'!$F$8*B108)/(Calculations!$D$10*(1-Calculations!$D$9)*'Figure 10.10'!$F$9+(Calculations!$D$9-Calculations!$D$10)*B108)</f>
        <v>1.9502145922746785</v>
      </c>
      <c r="D108" s="24">
        <f>'Figure 10.10'!$F$9-B108</f>
        <v>2.0299999999999994</v>
      </c>
      <c r="E108" s="24">
        <f>'Figure 10.10'!$F$8-C108</f>
        <v>0.04978540772532147</v>
      </c>
      <c r="F108" s="24"/>
      <c r="G108" s="24">
        <f>B108^(1-Calculations!$D$9)*C108^Calculations!$D$9</f>
        <v>2.351457853718316</v>
      </c>
      <c r="H108" s="24">
        <f>D108^(1-Calculations!$D$10)*E108^Calculations!$D$10</f>
        <v>0.9669794484524373</v>
      </c>
    </row>
    <row r="109" spans="2:8" ht="12.75">
      <c r="B109" s="24">
        <f>B108+'Figure 10.10'!$F$9/$C$32</f>
        <v>5.040000000000001</v>
      </c>
      <c r="C109" s="24">
        <f>(Calculations!$D$9*(1-Calculations!$D$10)*'Figure 10.10'!$F$8*B109)/(Calculations!$D$10*(1-Calculations!$D$9)*'Figure 10.10'!$F$9+(Calculations!$D$9-Calculations!$D$10)*B109)</f>
        <v>1.9525423728813562</v>
      </c>
      <c r="D109" s="24">
        <f>'Figure 10.10'!$F$9-B109</f>
        <v>1.959999999999999</v>
      </c>
      <c r="E109" s="24">
        <f>'Figure 10.10'!$F$8-C109</f>
        <v>0.047457627118643764</v>
      </c>
      <c r="F109" s="24"/>
      <c r="G109" s="24">
        <f>B109^(1-Calculations!$D$9)*C109^Calculations!$D$9</f>
        <v>2.3602960590075863</v>
      </c>
      <c r="H109" s="24">
        <f>D109^(1-Calculations!$D$10)*E109^Calculations!$D$10</f>
        <v>0.9312495181130735</v>
      </c>
    </row>
    <row r="110" spans="2:8" ht="12.75">
      <c r="B110" s="24">
        <f>B109+'Figure 10.10'!$F$9/$C$32</f>
        <v>5.110000000000001</v>
      </c>
      <c r="C110" s="24">
        <f>(Calculations!$D$9*(1-Calculations!$D$10)*'Figure 10.10'!$F$8*B110)/(Calculations!$D$10*(1-Calculations!$D$9)*'Figure 10.10'!$F$9+(Calculations!$D$9-Calculations!$D$10)*B110)</f>
        <v>1.9548117154811717</v>
      </c>
      <c r="D110" s="24">
        <f>'Figure 10.10'!$F$9-B110</f>
        <v>1.8899999999999988</v>
      </c>
      <c r="E110" s="24">
        <f>'Figure 10.10'!$F$8-C110</f>
        <v>0.04518828451882828</v>
      </c>
      <c r="F110" s="24"/>
      <c r="G110" s="24">
        <f>B110^(1-Calculations!$D$9)*C110^Calculations!$D$9</f>
        <v>2.3690167236176727</v>
      </c>
      <c r="H110" s="24">
        <f>D110^(1-Calculations!$D$10)*E110^Calculations!$D$10</f>
        <v>0.8957248320126221</v>
      </c>
    </row>
    <row r="111" spans="2:8" ht="12.75">
      <c r="B111" s="24">
        <f>B110+'Figure 10.10'!$F$9/$C$32</f>
        <v>5.1800000000000015</v>
      </c>
      <c r="C111" s="24">
        <f>(Calculations!$D$9*(1-Calculations!$D$10)*'Figure 10.10'!$F$8*B111)/(Calculations!$D$10*(1-Calculations!$D$9)*'Figure 10.10'!$F$9+(Calculations!$D$9-Calculations!$D$10)*B111)</f>
        <v>1.95702479338843</v>
      </c>
      <c r="D111" s="24">
        <f>'Figure 10.10'!$F$9-B111</f>
        <v>1.8199999999999985</v>
      </c>
      <c r="E111" s="24">
        <f>'Figure 10.10'!$F$8-C111</f>
        <v>0.04297520661157006</v>
      </c>
      <c r="F111" s="24"/>
      <c r="G111" s="24">
        <f>B111^(1-Calculations!$D$9)*C111^Calculations!$D$9</f>
        <v>2.3776231142918522</v>
      </c>
      <c r="H111" s="24">
        <f>D111^(1-Calculations!$D$10)*E111^Calculations!$D$10</f>
        <v>0.8604006009531735</v>
      </c>
    </row>
    <row r="112" spans="2:8" ht="12.75">
      <c r="B112" s="24">
        <f>B111+'Figure 10.10'!$F$9/$C$32</f>
        <v>5.250000000000002</v>
      </c>
      <c r="C112" s="24">
        <f>(Calculations!$D$9*(1-Calculations!$D$10)*'Figure 10.10'!$F$8*B112)/(Calculations!$D$10*(1-Calculations!$D$9)*'Figure 10.10'!$F$9+(Calculations!$D$9-Calculations!$D$10)*B112)</f>
        <v>1.959183673469388</v>
      </c>
      <c r="D112" s="24">
        <f>'Figure 10.10'!$F$9-B112</f>
        <v>1.7499999999999982</v>
      </c>
      <c r="E112" s="24">
        <f>'Figure 10.10'!$F$8-C112</f>
        <v>0.04081632653061207</v>
      </c>
      <c r="F112" s="24"/>
      <c r="G112" s="24">
        <f>B112^(1-Calculations!$D$9)*C112^Calculations!$D$9</f>
        <v>2.386118363640938</v>
      </c>
      <c r="H112" s="24">
        <f>D112^(1-Calculations!$D$10)*E112^Calculations!$D$10</f>
        <v>0.8252722119744929</v>
      </c>
    </row>
    <row r="113" spans="2:8" ht="12.75">
      <c r="B113" s="24">
        <f>B112+'Figure 10.10'!$F$9/$C$32</f>
        <v>5.320000000000002</v>
      </c>
      <c r="C113" s="24">
        <f>(Calculations!$D$9*(1-Calculations!$D$10)*'Figure 10.10'!$F$8*B113)/(Calculations!$D$10*(1-Calculations!$D$9)*'Figure 10.10'!$F$9+(Calculations!$D$9-Calculations!$D$10)*B113)</f>
        <v>1.9612903225806455</v>
      </c>
      <c r="D113" s="24">
        <f>'Figure 10.10'!$F$9-B113</f>
        <v>1.679999999999998</v>
      </c>
      <c r="E113" s="24">
        <f>'Figure 10.10'!$F$8-C113</f>
        <v>0.03870967741935449</v>
      </c>
      <c r="F113" s="24"/>
      <c r="G113" s="24">
        <f>B113^(1-Calculations!$D$9)*C113^Calculations!$D$9</f>
        <v>2.394505477328669</v>
      </c>
      <c r="H113" s="24">
        <f>D113^(1-Calculations!$D$10)*E113^Calculations!$D$10</f>
        <v>0.7903352196863773</v>
      </c>
    </row>
    <row r="114" spans="2:8" ht="12.75">
      <c r="B114" s="24">
        <f>B113+'Figure 10.10'!$F$9/$C$32</f>
        <v>5.390000000000002</v>
      </c>
      <c r="C114" s="24">
        <f>(Calculations!$D$9*(1-Calculations!$D$10)*'Figure 10.10'!$F$8*B114)/(Calculations!$D$10*(1-Calculations!$D$9)*'Figure 10.10'!$F$9+(Calculations!$D$9-Calculations!$D$10)*B114)</f>
        <v>1.963346613545817</v>
      </c>
      <c r="D114" s="24">
        <f>'Figure 10.10'!$F$9-B114</f>
        <v>1.6099999999999977</v>
      </c>
      <c r="E114" s="24">
        <f>'Figure 10.10'!$F$8-C114</f>
        <v>0.036653386454182924</v>
      </c>
      <c r="F114" s="24"/>
      <c r="G114" s="24">
        <f>B114^(1-Calculations!$D$9)*C114^Calculations!$D$9</f>
        <v>2.4027873407862357</v>
      </c>
      <c r="H114" s="24">
        <f>D114^(1-Calculations!$D$10)*E114^Calculations!$D$10</f>
        <v>0.755585338129647</v>
      </c>
    </row>
    <row r="115" spans="2:8" ht="12.75">
      <c r="B115" s="24">
        <f>B114+'Figure 10.10'!$F$9/$C$32</f>
        <v>5.460000000000003</v>
      </c>
      <c r="C115" s="24">
        <f>(Calculations!$D$9*(1-Calculations!$D$10)*'Figure 10.10'!$F$8*B115)/(Calculations!$D$10*(1-Calculations!$D$9)*'Figure 10.10'!$F$9+(Calculations!$D$9-Calculations!$D$10)*B115)</f>
        <v>1.9653543307086618</v>
      </c>
      <c r="D115" s="24">
        <f>'Figure 10.10'!$F$9-B115</f>
        <v>1.5399999999999974</v>
      </c>
      <c r="E115" s="24">
        <f>'Figure 10.10'!$F$8-C115</f>
        <v>0.034645669291338166</v>
      </c>
      <c r="F115" s="24"/>
      <c r="G115" s="24">
        <f>B115^(1-Calculations!$D$9)*C115^Calculations!$D$9</f>
        <v>2.410966725492231</v>
      </c>
      <c r="H115" s="24">
        <f>D115^(1-Calculations!$D$10)*E115^Calculations!$D$10</f>
        <v>0.7210184331274904</v>
      </c>
    </row>
    <row r="116" spans="2:8" ht="12.75">
      <c r="B116" s="24">
        <f>B115+'Figure 10.10'!$F$9/$C$32</f>
        <v>5.530000000000003</v>
      </c>
      <c r="C116" s="24">
        <f>(Calculations!$D$9*(1-Calculations!$D$10)*'Figure 10.10'!$F$8*B116)/(Calculations!$D$10*(1-Calculations!$D$9)*'Figure 10.10'!$F$9+(Calculations!$D$9-Calculations!$D$10)*B116)</f>
        <v>1.9673151750972764</v>
      </c>
      <c r="D116" s="24">
        <f>'Figure 10.10'!$F$9-B116</f>
        <v>1.469999999999997</v>
      </c>
      <c r="E116" s="24">
        <f>'Figure 10.10'!$F$8-C116</f>
        <v>0.03268482490272362</v>
      </c>
      <c r="F116" s="24"/>
      <c r="G116" s="24">
        <f>B116^(1-Calculations!$D$9)*C116^Calculations!$D$9</f>
        <v>2.4190462948511016</v>
      </c>
      <c r="H116" s="24">
        <f>D116^(1-Calculations!$D$10)*E116^Calculations!$D$10</f>
        <v>0.6866305150921139</v>
      </c>
    </row>
    <row r="117" spans="2:8" ht="12.75">
      <c r="B117" s="24">
        <f>B116+'Figure 10.10'!$F$9/$C$32</f>
        <v>5.600000000000003</v>
      </c>
      <c r="C117" s="24">
        <f>(Calculations!$D$9*(1-Calculations!$D$10)*'Figure 10.10'!$F$8*B117)/(Calculations!$D$10*(1-Calculations!$D$9)*'Figure 10.10'!$F$9+(Calculations!$D$9-Calculations!$D$10)*B117)</f>
        <v>1.9692307692307696</v>
      </c>
      <c r="D117" s="24">
        <f>'Figure 10.10'!$F$9-B117</f>
        <v>1.3999999999999968</v>
      </c>
      <c r="E117" s="24">
        <f>'Figure 10.10'!$F$8-C117</f>
        <v>0.030769230769230438</v>
      </c>
      <c r="F117" s="24"/>
      <c r="G117" s="24">
        <f>B117^(1-Calculations!$D$9)*C117^Calculations!$D$9</f>
        <v>2.4270286097003027</v>
      </c>
      <c r="H117" s="24">
        <f>D117^(1-Calculations!$D$10)*E117^Calculations!$D$10</f>
        <v>0.6524177322544926</v>
      </c>
    </row>
    <row r="118" spans="2:8" ht="12.75">
      <c r="B118" s="24">
        <f>B117+'Figure 10.10'!$F$9/$C$32</f>
        <v>5.6700000000000035</v>
      </c>
      <c r="C118" s="24">
        <f>(Calculations!$D$9*(1-Calculations!$D$10)*'Figure 10.10'!$F$8*B118)/(Calculations!$D$10*(1-Calculations!$D$9)*'Figure 10.10'!$F$9+(Calculations!$D$9-Calculations!$D$10)*B118)</f>
        <v>1.9711026615969585</v>
      </c>
      <c r="D118" s="24">
        <f>'Figure 10.10'!$F$9-B118</f>
        <v>1.3299999999999965</v>
      </c>
      <c r="E118" s="24">
        <f>'Figure 10.10'!$F$8-C118</f>
        <v>0.02889733840304154</v>
      </c>
      <c r="F118" s="24"/>
      <c r="G118" s="24">
        <f>B118^(1-Calculations!$D$9)*C118^Calculations!$D$9</f>
        <v>2.4349161334737466</v>
      </c>
      <c r="H118" s="24">
        <f>D118^(1-Calculations!$D$10)*E118^Calculations!$D$10</f>
        <v>0.6183763642876969</v>
      </c>
    </row>
    <row r="119" spans="2:8" ht="12.75">
      <c r="B119" s="24">
        <f>B118+'Figure 10.10'!$F$9/$C$32</f>
        <v>5.740000000000004</v>
      </c>
      <c r="C119" s="24">
        <f>(Calculations!$D$9*(1-Calculations!$D$10)*'Figure 10.10'!$F$8*B119)/(Calculations!$D$10*(1-Calculations!$D$9)*'Figure 10.10'!$F$9+(Calculations!$D$9-Calculations!$D$10)*B119)</f>
        <v>1.972932330827068</v>
      </c>
      <c r="D119" s="24">
        <f>'Figure 10.10'!$F$9-B119</f>
        <v>1.2599999999999962</v>
      </c>
      <c r="E119" s="24">
        <f>'Figure 10.10'!$F$8-C119</f>
        <v>0.027067669172931907</v>
      </c>
      <c r="F119" s="24"/>
      <c r="G119" s="24">
        <f>B119^(1-Calculations!$D$9)*C119^Calculations!$D$9</f>
        <v>2.4427112370467996</v>
      </c>
      <c r="H119" s="24">
        <f>D119^(1-Calculations!$D$10)*E119^Calculations!$D$10</f>
        <v>0.5845028162965766</v>
      </c>
    </row>
    <row r="120" spans="2:8" ht="12.75">
      <c r="B120" s="24">
        <f>B119+'Figure 10.10'!$F$9/$C$32</f>
        <v>5.810000000000004</v>
      </c>
      <c r="C120" s="24">
        <f>(Calculations!$D$9*(1-Calculations!$D$10)*'Figure 10.10'!$F$8*B120)/(Calculations!$D$10*(1-Calculations!$D$9)*'Figure 10.10'!$F$9+(Calculations!$D$9-Calculations!$D$10)*B120)</f>
        <v>1.9747211895910786</v>
      </c>
      <c r="D120" s="24">
        <f>'Figure 10.10'!$F$9-B120</f>
        <v>1.189999999999996</v>
      </c>
      <c r="E120" s="24">
        <f>'Figure 10.10'!$F$8-C120</f>
        <v>0.025278810408921437</v>
      </c>
      <c r="F120" s="24"/>
      <c r="G120" s="24">
        <f>B120^(1-Calculations!$D$9)*C120^Calculations!$D$9</f>
        <v>2.4504162032859433</v>
      </c>
      <c r="H120" s="24">
        <f>D120^(1-Calculations!$D$10)*E120^Calculations!$D$10</f>
        <v>0.5507936131488378</v>
      </c>
    </row>
    <row r="121" spans="2:8" ht="12.75">
      <c r="B121" s="24">
        <f>B120+'Figure 10.10'!$F$9/$C$32</f>
        <v>5.880000000000004</v>
      </c>
      <c r="C121" s="24">
        <f>(Calculations!$D$9*(1-Calculations!$D$10)*'Figure 10.10'!$F$8*B121)/(Calculations!$D$10*(1-Calculations!$D$9)*'Figure 10.10'!$F$9+(Calculations!$D$9-Calculations!$D$10)*B121)</f>
        <v>1.9764705882352944</v>
      </c>
      <c r="D121" s="24">
        <f>'Figure 10.10'!$F$9-B121</f>
        <v>1.1199999999999957</v>
      </c>
      <c r="E121" s="24">
        <f>'Figure 10.10'!$F$8-C121</f>
        <v>0.023529411764705577</v>
      </c>
      <c r="F121" s="24"/>
      <c r="G121" s="24">
        <f>B121^(1-Calculations!$D$9)*C121^Calculations!$D$9</f>
        <v>2.4580332313243</v>
      </c>
      <c r="H121" s="24">
        <f>D121^(1-Calculations!$D$10)*E121^Calculations!$D$10</f>
        <v>0.5172453941244365</v>
      </c>
    </row>
    <row r="122" spans="2:8" ht="12.75">
      <c r="B122" s="24">
        <f>B121+'Figure 10.10'!$F$9/$C$32</f>
        <v>5.950000000000005</v>
      </c>
      <c r="C122" s="24">
        <f>(Calculations!$D$9*(1-Calculations!$D$10)*'Figure 10.10'!$F$8*B122)/(Calculations!$D$10*(1-Calculations!$D$9)*'Figure 10.10'!$F$9+(Calculations!$D$9-Calculations!$D$10)*B122)</f>
        <v>1.9781818181818185</v>
      </c>
      <c r="D122" s="24">
        <f>'Figure 10.10'!$F$9-B122</f>
        <v>1.0499999999999954</v>
      </c>
      <c r="E122" s="24">
        <f>'Figure 10.10'!$F$8-C122</f>
        <v>0.021818181818181515</v>
      </c>
      <c r="F122" s="24"/>
      <c r="G122" s="24">
        <f>B122^(1-Calculations!$D$9)*C122^Calculations!$D$9</f>
        <v>2.465564440582485</v>
      </c>
      <c r="H122" s="24">
        <f>D122^(1-Calculations!$D$10)*E122^Calculations!$D$10</f>
        <v>0.4838549078620579</v>
      </c>
    </row>
    <row r="123" spans="2:8" ht="12.75">
      <c r="B123" s="24">
        <f>B122+'Figure 10.10'!$F$9/$C$32</f>
        <v>6.020000000000005</v>
      </c>
      <c r="C123" s="24">
        <f>(Calculations!$D$9*(1-Calculations!$D$10)*'Figure 10.10'!$F$8*B123)/(Calculations!$D$10*(1-Calculations!$D$9)*'Figure 10.10'!$F$9+(Calculations!$D$9-Calculations!$D$10)*B123)</f>
        <v>1.979856115107914</v>
      </c>
      <c r="D123" s="24">
        <f>'Figure 10.10'!$F$9-B123</f>
        <v>0.9799999999999951</v>
      </c>
      <c r="E123" s="24">
        <f>'Figure 10.10'!$F$8-C123</f>
        <v>0.020143884892086072</v>
      </c>
      <c r="F123" s="24"/>
      <c r="G123" s="24">
        <f>B123^(1-Calculations!$D$9)*C123^Calculations!$D$9</f>
        <v>2.473011874552643</v>
      </c>
      <c r="H123" s="24">
        <f>D123^(1-Calculations!$D$10)*E123^Calculations!$D$10</f>
        <v>0.45061900758307843</v>
      </c>
    </row>
    <row r="124" spans="2:8" ht="12.75">
      <c r="B124" s="24">
        <f>B123+'Figure 10.10'!$F$9/$C$32</f>
        <v>6.090000000000005</v>
      </c>
      <c r="C124" s="24">
        <f>(Calculations!$D$9*(1-Calculations!$D$10)*'Figure 10.10'!$F$8*B124)/(Calculations!$D$10*(1-Calculations!$D$9)*'Figure 10.10'!$F$9+(Calculations!$D$9-Calculations!$D$10)*B124)</f>
        <v>1.9814946619217086</v>
      </c>
      <c r="D124" s="24">
        <f>'Figure 10.10'!$F$9-B124</f>
        <v>0.9099999999999948</v>
      </c>
      <c r="E124" s="24">
        <f>'Figure 10.10'!$F$8-C124</f>
        <v>0.018505338078291356</v>
      </c>
      <c r="F124" s="24"/>
      <c r="G124" s="24">
        <f>B124^(1-Calculations!$D$9)*C124^Calculations!$D$9</f>
        <v>2.4803775043621195</v>
      </c>
      <c r="H124" s="24">
        <f>D124^(1-Calculations!$D$10)*E124^Calculations!$D$10</f>
        <v>0.4175346465748747</v>
      </c>
    </row>
    <row r="125" spans="2:8" ht="12.75">
      <c r="B125" s="24">
        <f>B124+'Figure 10.10'!$F$9/$C$32</f>
        <v>6.1600000000000055</v>
      </c>
      <c r="C125" s="24">
        <f>(Calculations!$D$9*(1-Calculations!$D$10)*'Figure 10.10'!$F$8*B125)/(Calculations!$D$10*(1-Calculations!$D$9)*'Figure 10.10'!$F$9+(Calculations!$D$9-Calculations!$D$10)*B125)</f>
        <v>1.983098591549296</v>
      </c>
      <c r="D125" s="24">
        <f>'Figure 10.10'!$F$9-B125</f>
        <v>0.8399999999999945</v>
      </c>
      <c r="E125" s="24">
        <f>'Figure 10.10'!$F$8-C125</f>
        <v>0.01690140845070398</v>
      </c>
      <c r="F125" s="24"/>
      <c r="G125" s="24">
        <f>B125^(1-Calculations!$D$9)*C125^Calculations!$D$9</f>
        <v>2.4876632321318737</v>
      </c>
      <c r="H125" s="24">
        <f>D125^(1-Calculations!$D$10)*E125^Calculations!$D$10</f>
        <v>0.3845988739167534</v>
      </c>
    </row>
    <row r="126" spans="2:8" ht="12.75">
      <c r="B126" s="24">
        <f>B125+'Figure 10.10'!$F$9/$C$32</f>
        <v>6.230000000000006</v>
      </c>
      <c r="C126" s="24">
        <f>(Calculations!$D$9*(1-Calculations!$D$10)*'Figure 10.10'!$F$8*B126)/(Calculations!$D$10*(1-Calculations!$D$9)*'Figure 10.10'!$F$9+(Calculations!$D$9-Calculations!$D$10)*B126)</f>
        <v>1.9846689895470384</v>
      </c>
      <c r="D126" s="24">
        <f>'Figure 10.10'!$F$9-B126</f>
        <v>0.7699999999999942</v>
      </c>
      <c r="E126" s="24">
        <f>'Figure 10.10'!$F$8-C126</f>
        <v>0.015331010452961591</v>
      </c>
      <c r="F126" s="24"/>
      <c r="G126" s="24">
        <f>B126^(1-Calculations!$D$9)*C126^Calculations!$D$9</f>
        <v>2.494870894143592</v>
      </c>
      <c r="H126" s="24">
        <f>D126^(1-Calculations!$D$10)*E126^Calculations!$D$10</f>
        <v>0.35180883043297334</v>
      </c>
    </row>
    <row r="127" spans="2:8" ht="12.75">
      <c r="B127" s="24">
        <f>B126+'Figure 10.10'!$F$9/$C$32</f>
        <v>6.300000000000006</v>
      </c>
      <c r="C127" s="24">
        <f>(Calculations!$D$9*(1-Calculations!$D$10)*'Figure 10.10'!$F$8*B127)/(Calculations!$D$10*(1-Calculations!$D$9)*'Figure 10.10'!$F$9+(Calculations!$D$9-Calculations!$D$10)*B127)</f>
        <v>1.9862068965517243</v>
      </c>
      <c r="D127" s="24">
        <f>'Figure 10.10'!$F$9-B127</f>
        <v>0.699999999999994</v>
      </c>
      <c r="E127" s="24">
        <f>'Figure 10.10'!$F$8-C127</f>
        <v>0.013793103448275668</v>
      </c>
      <c r="F127" s="24"/>
      <c r="G127" s="24">
        <f>B127^(1-Calculations!$D$9)*C127^Calculations!$D$9</f>
        <v>2.502002263828327</v>
      </c>
      <c r="H127" s="24">
        <f>D127^(1-Calculations!$D$10)*E127^Calculations!$D$10</f>
        <v>0.319161744858533</v>
      </c>
    </row>
    <row r="128" spans="2:8" ht="12.75">
      <c r="B128" s="24">
        <f>B127+'Figure 10.10'!$F$9/$C$32</f>
        <v>6.370000000000006</v>
      </c>
      <c r="C128" s="24">
        <f>(Calculations!$D$9*(1-Calculations!$D$10)*'Figure 10.10'!$F$8*B128)/(Calculations!$D$10*(1-Calculations!$D$9)*'Figure 10.10'!$F$9+(Calculations!$D$9-Calculations!$D$10)*B128)</f>
        <v>1.987713310580205</v>
      </c>
      <c r="D128" s="24">
        <f>'Figure 10.10'!$F$9-B128</f>
        <v>0.6299999999999937</v>
      </c>
      <c r="E128" s="24">
        <f>'Figure 10.10'!$F$8-C128</f>
        <v>0.01228668941979505</v>
      </c>
      <c r="F128" s="24"/>
      <c r="G128" s="24">
        <f>B128^(1-Calculations!$D$9)*C128^Calculations!$D$9</f>
        <v>2.509059054588541</v>
      </c>
      <c r="H128" s="24">
        <f>D128^(1-Calculations!$D$10)*E128^Calculations!$D$10</f>
        <v>0.28665493020439664</v>
      </c>
    </row>
    <row r="129" spans="2:8" ht="12.75">
      <c r="B129" s="24">
        <f>B128+'Figure 10.10'!$F$9/$C$32</f>
        <v>6.440000000000007</v>
      </c>
      <c r="C129" s="24">
        <f>(Calculations!$D$9*(1-Calculations!$D$10)*'Figure 10.10'!$F$8*B129)/(Calculations!$D$10*(1-Calculations!$D$9)*'Figure 10.10'!$F$9+(Calculations!$D$9-Calculations!$D$10)*B129)</f>
        <v>1.9891891891891895</v>
      </c>
      <c r="D129" s="24">
        <f>'Figure 10.10'!$F$9-B129</f>
        <v>0.5599999999999934</v>
      </c>
      <c r="E129" s="24">
        <f>'Figure 10.10'!$F$8-C129</f>
        <v>0.010810810810810478</v>
      </c>
      <c r="F129" s="24"/>
      <c r="G129" s="24">
        <f>B129^(1-Calculations!$D$9)*C129^Calculations!$D$9</f>
        <v>2.5160429224644996</v>
      </c>
      <c r="H129" s="24">
        <f>D129^(1-Calculations!$D$10)*E129^Calculations!$D$10</f>
        <v>0.2542857803098069</v>
      </c>
    </row>
    <row r="130" spans="2:8" ht="12.75">
      <c r="B130" s="24">
        <f>B129+'Figure 10.10'!$F$9/$C$32</f>
        <v>6.510000000000007</v>
      </c>
      <c r="C130" s="24">
        <f>(Calculations!$D$9*(1-Calculations!$D$10)*'Figure 10.10'!$F$8*B130)/(Calculations!$D$10*(1-Calculations!$D$9)*'Figure 10.10'!$F$9+(Calculations!$D$9-Calculations!$D$10)*B130)</f>
        <v>1.9906354515050173</v>
      </c>
      <c r="D130" s="24">
        <f>'Figure 10.10'!$F$9-B130</f>
        <v>0.4899999999999931</v>
      </c>
      <c r="E130" s="24">
        <f>'Figure 10.10'!$F$8-C130</f>
        <v>0.009364548494982694</v>
      </c>
      <c r="F130" s="24"/>
      <c r="G130" s="24">
        <f>B130^(1-Calculations!$D$9)*C130^Calculations!$D$9</f>
        <v>2.5229554686551445</v>
      </c>
      <c r="H130" s="24">
        <f>D130^(1-Calculations!$D$10)*E130^Calculations!$D$10</f>
        <v>0.2220517665702398</v>
      </c>
    </row>
    <row r="131" spans="2:8" ht="12.75">
      <c r="B131" s="24">
        <f>B130+'Figure 10.10'!$F$9/$C$32</f>
        <v>6.580000000000007</v>
      </c>
      <c r="C131" s="24">
        <f>(Calculations!$D$9*(1-Calculations!$D$10)*'Figure 10.10'!$F$8*B131)/(Calculations!$D$10*(1-Calculations!$D$9)*'Figure 10.10'!$F$9+(Calculations!$D$9-Calculations!$D$10)*B131)</f>
        <v>1.9920529801324505</v>
      </c>
      <c r="D131" s="24">
        <f>'Figure 10.10'!$F$9-B131</f>
        <v>0.4199999999999928</v>
      </c>
      <c r="E131" s="24">
        <f>'Figure 10.10'!$F$8-C131</f>
        <v>0.007947019867549532</v>
      </c>
      <c r="F131" s="24"/>
      <c r="G131" s="24">
        <f>B131^(1-Calculations!$D$9)*C131^Calculations!$D$9</f>
        <v>2.5297982419028178</v>
      </c>
      <c r="H131" s="24">
        <f>D131^(1-Calculations!$D$10)*E131^Calculations!$D$10</f>
        <v>0.1899504348303361</v>
      </c>
    </row>
    <row r="132" spans="2:8" ht="12.75">
      <c r="B132" s="24">
        <f>B131+'Figure 10.10'!$F$9/$C$32</f>
        <v>6.6500000000000075</v>
      </c>
      <c r="C132" s="24">
        <f>(Calculations!$D$9*(1-Calculations!$D$10)*'Figure 10.10'!$F$8*B132)/(Calculations!$D$10*(1-Calculations!$D$9)*'Figure 10.10'!$F$9+(Calculations!$D$9-Calculations!$D$10)*B132)</f>
        <v>1.99344262295082</v>
      </c>
      <c r="D132" s="24">
        <f>'Figure 10.10'!$F$9-B132</f>
        <v>0.34999999999999254</v>
      </c>
      <c r="E132" s="24">
        <f>'Figure 10.10'!$F$8-C132</f>
        <v>0.006557377049180024</v>
      </c>
      <c r="F132" s="24"/>
      <c r="G132" s="24">
        <f>B132^(1-Calculations!$D$9)*C132^Calculations!$D$9</f>
        <v>2.536572740750521</v>
      </c>
      <c r="H132" s="24">
        <f>D132^(1-Calculations!$D$10)*E132^Calculations!$D$10</f>
        <v>0.15797940243189096</v>
      </c>
    </row>
    <row r="133" spans="2:8" ht="12.75">
      <c r="B133" s="24">
        <f>B132+'Figure 10.10'!$F$9/$C$32</f>
        <v>6.720000000000008</v>
      </c>
      <c r="C133" s="24">
        <f>(Calculations!$D$9*(1-Calculations!$D$10)*'Figure 10.10'!$F$8*B133)/(Calculations!$D$10*(1-Calculations!$D$9)*'Figure 10.10'!$F$9+(Calculations!$D$9-Calculations!$D$10)*B133)</f>
        <v>1.994805194805195</v>
      </c>
      <c r="D133" s="24">
        <f>'Figure 10.10'!$F$9-B133</f>
        <v>0.27999999999999226</v>
      </c>
      <c r="E133" s="24">
        <f>'Figure 10.10'!$F$8-C133</f>
        <v>0.0051948051948049745</v>
      </c>
      <c r="F133" s="24"/>
      <c r="G133" s="24">
        <f>B133^(1-Calculations!$D$9)*C133^Calculations!$D$9</f>
        <v>2.543280415679742</v>
      </c>
      <c r="H133" s="24">
        <f>D133^(1-Calculations!$D$10)*E133^Calculations!$D$10</f>
        <v>0.1261363554077333</v>
      </c>
    </row>
    <row r="134" spans="2:8" ht="12.75">
      <c r="B134" s="24">
        <f>B133+'Figure 10.10'!$F$9/$C$32</f>
        <v>6.790000000000008</v>
      </c>
      <c r="C134" s="24">
        <f>(Calculations!$D$9*(1-Calculations!$D$10)*'Figure 10.10'!$F$8*B134)/(Calculations!$D$10*(1-Calculations!$D$9)*'Figure 10.10'!$F$9+(Calculations!$D$9-Calculations!$D$10)*B134)</f>
        <v>1.996141479099679</v>
      </c>
      <c r="D134" s="24">
        <f>'Figure 10.10'!$F$9-B134</f>
        <v>0.20999999999999197</v>
      </c>
      <c r="E134" s="24">
        <f>'Figure 10.10'!$F$8-C134</f>
        <v>0.0038585209003210164</v>
      </c>
      <c r="F134" s="24"/>
      <c r="G134" s="24">
        <f>B134^(1-Calculations!$D$9)*C134^Calculations!$D$9</f>
        <v>2.5499226711363203</v>
      </c>
      <c r="H134" s="24">
        <f>D134^(1-Calculations!$D$10)*E134^Calculations!$D$10</f>
        <v>0.0944190458128389</v>
      </c>
    </row>
    <row r="135" spans="2:8" ht="12.75">
      <c r="B135" s="24">
        <f>B134+'Figure 10.10'!$F$9/$C$32</f>
        <v>6.860000000000008</v>
      </c>
      <c r="C135" s="24">
        <f>(Calculations!$D$9*(1-Calculations!$D$10)*'Figure 10.10'!$F$8*B135)/(Calculations!$D$10*(1-Calculations!$D$9)*'Figure 10.10'!$F$9+(Calculations!$D$9-Calculations!$D$10)*B135)</f>
        <v>1.9974522292993628</v>
      </c>
      <c r="D135" s="24">
        <f>'Figure 10.10'!$F$9-B135</f>
        <v>0.1399999999999917</v>
      </c>
      <c r="E135" s="24">
        <f>'Figure 10.10'!$F$8-C135</f>
        <v>0.002547770700637164</v>
      </c>
      <c r="F135" s="24"/>
      <c r="G135" s="24">
        <f>B135^(1-Calculations!$D$9)*C135^Calculations!$D$9</f>
        <v>2.5565008674512693</v>
      </c>
      <c r="H135" s="24">
        <f>D135^(1-Calculations!$D$10)*E135^Calculations!$D$10</f>
        <v>0.06282528918474946</v>
      </c>
    </row>
    <row r="136" spans="2:8" ht="12.75">
      <c r="B136" s="24">
        <f>B135+'Figure 10.10'!$F$9/$C$32</f>
        <v>6.930000000000009</v>
      </c>
      <c r="C136" s="24">
        <f>(Calculations!$D$9*(1-Calculations!$D$10)*'Figure 10.10'!$F$8*B136)/(Calculations!$D$10*(1-Calculations!$D$9)*'Figure 10.10'!$F$9+(Calculations!$D$9-Calculations!$D$10)*B136)</f>
        <v>1.9987381703470033</v>
      </c>
      <c r="D136" s="24">
        <f>'Figure 10.10'!$F$9-B136</f>
        <v>0.0699999999999914</v>
      </c>
      <c r="E136" s="24">
        <f>'Figure 10.10'!$F$8-C136</f>
        <v>0.0012618296529967044</v>
      </c>
      <c r="F136" s="24"/>
      <c r="G136" s="24">
        <f>B136^(1-Calculations!$D$9)*C136^Calculations!$D$9</f>
        <v>2.563016322662995</v>
      </c>
      <c r="H136" s="24">
        <f>D136^(1-Calculations!$D$10)*E136^Calculations!$D$10</f>
        <v>0.03135296212575659</v>
      </c>
    </row>
    <row r="137" spans="2:8" ht="12.75">
      <c r="B137" s="24">
        <f>B136+'Figure 10.10'!$F$9/$C$32</f>
        <v>7.000000000000009</v>
      </c>
      <c r="C137" s="24">
        <f>(Calculations!$D$9*(1-Calculations!$D$10)*'Figure 10.10'!$F$8*B137)/(Calculations!$D$10*(1-Calculations!$D$9)*'Figure 10.10'!$F$9+(Calculations!$D$9-Calculations!$D$10)*B137)</f>
        <v>2</v>
      </c>
      <c r="D137" s="24">
        <f>'Figure 10.10'!$F$9-B137</f>
        <v>-8.881784197001252E-15</v>
      </c>
      <c r="E137" s="24">
        <f>'Figure 10.10'!$F$8-C137</f>
        <v>0</v>
      </c>
      <c r="F137" s="24"/>
      <c r="G137" s="24">
        <f>B137^(1-Calculations!$D$9)*C137^Calculations!$D$9</f>
        <v>2.5694703142468787</v>
      </c>
      <c r="H137" s="24" t="e">
        <f>D137^(1-Calculations!$D$10)*E137^Calculations!$D$10</f>
        <v>#NUM!</v>
      </c>
    </row>
  </sheetData>
  <sheetProtection/>
  <mergeCells count="10">
    <mergeCell ref="B35:E35"/>
    <mergeCell ref="G35:H35"/>
    <mergeCell ref="K35:L35"/>
    <mergeCell ref="A2:M2"/>
    <mergeCell ref="Z35:AA35"/>
    <mergeCell ref="AC35:AD35"/>
    <mergeCell ref="N35:O35"/>
    <mergeCell ref="Q35:R35"/>
    <mergeCell ref="T35:U35"/>
    <mergeCell ref="W35:X3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EUR/FEW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Ottens</dc:creator>
  <cp:keywords/>
  <dc:description/>
  <cp:lastModifiedBy>Marrewijk, J.G.M. van (Charles)</cp:lastModifiedBy>
  <dcterms:created xsi:type="dcterms:W3CDTF">2001-03-21T15:08:44Z</dcterms:created>
  <dcterms:modified xsi:type="dcterms:W3CDTF">2017-09-22T12:59:09Z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389279732</vt:i4>
  </property>
  <property fmtid="{D5CDD505-2E9C-101B-9397-08002B2CF9AE}" pid="3" name="_NewReviewCycle">
    <vt:lpwstr/>
  </property>
  <property fmtid="{D5CDD505-2E9C-101B-9397-08002B2CF9AE}" pid="4" name="_EmailSubject">
    <vt:lpwstr>ch 6 en ch8</vt:lpwstr>
  </property>
  <property fmtid="{D5CDD505-2E9C-101B-9397-08002B2CF9AE}" pid="5" name="_AuthorEmail">
    <vt:lpwstr>Daniel.Ottens@ingcf.com</vt:lpwstr>
  </property>
  <property fmtid="{D5CDD505-2E9C-101B-9397-08002B2CF9AE}" pid="6" name="_AuthorEmailDisplayName">
    <vt:lpwstr>Ottens, D. (Daniel)</vt:lpwstr>
  </property>
  <property fmtid="{D5CDD505-2E9C-101B-9397-08002B2CF9AE}" pid="7" name="_ReviewingToolsShownOnce">
    <vt:lpwstr/>
  </property>
</Properties>
</file>